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E:\招标文件0206\"/>
    </mc:Choice>
  </mc:AlternateContent>
  <xr:revisionPtr revIDLastSave="0" documentId="13_ncr:1_{0618A6EA-D634-4C19-A940-2C4F7B244A5D}" xr6:coauthVersionLast="47" xr6:coauthVersionMax="47" xr10:uidLastSave="{00000000-0000-0000-0000-000000000000}"/>
  <bookViews>
    <workbookView xWindow="0" yWindow="1185" windowWidth="22335" windowHeight="14415" xr2:uid="{00000000-000D-0000-FFFF-FFFF00000000}"/>
  </bookViews>
  <sheets>
    <sheet name="取费标准" sheetId="3" r:id="rId1"/>
    <sheet name="Sheet3" sheetId="2" state="hidden" r:id="rId2"/>
  </sheets>
  <definedNames>
    <definedName name="_xlnm.Print_Titles" localSheetId="1">Sheet3!$1:$2</definedName>
  </definedNames>
  <calcPr calcId="191029"/>
</workbook>
</file>

<file path=xl/calcChain.xml><?xml version="1.0" encoding="utf-8"?>
<calcChain xmlns="http://schemas.openxmlformats.org/spreadsheetml/2006/main">
  <c r="AA31" i="2" l="1"/>
  <c r="L31" i="2"/>
  <c r="AA30" i="2"/>
  <c r="L30" i="2"/>
  <c r="AA29" i="2"/>
  <c r="L29" i="2"/>
  <c r="AA28" i="2"/>
  <c r="L28" i="2"/>
  <c r="Z27" i="2"/>
  <c r="Z32" i="2" s="1"/>
  <c r="Y27" i="2"/>
  <c r="Y32" i="2" s="1"/>
  <c r="X27" i="2"/>
  <c r="X32" i="2" s="1"/>
  <c r="W27" i="2"/>
  <c r="W32" i="2" s="1"/>
  <c r="V27" i="2"/>
  <c r="V32" i="2" s="1"/>
  <c r="U27" i="2"/>
  <c r="U32" i="2" s="1"/>
  <c r="T27" i="2"/>
  <c r="T32" i="2" s="1"/>
  <c r="S27" i="2"/>
  <c r="S32" i="2" s="1"/>
  <c r="AA26" i="2"/>
  <c r="L26" i="2"/>
  <c r="AA25" i="2"/>
  <c r="L25" i="2"/>
  <c r="AA24" i="2"/>
  <c r="L24" i="2"/>
  <c r="AA23" i="2"/>
  <c r="L23" i="2"/>
  <c r="AA22" i="2"/>
  <c r="L22" i="2"/>
  <c r="AA21" i="2"/>
  <c r="L21" i="2"/>
  <c r="AA20" i="2"/>
  <c r="L20" i="2"/>
  <c r="AA19" i="2"/>
  <c r="L19" i="2"/>
  <c r="AA18" i="2"/>
  <c r="L18" i="2"/>
  <c r="AA17" i="2"/>
  <c r="L17" i="2"/>
  <c r="AA16" i="2"/>
  <c r="L16" i="2"/>
  <c r="AA15" i="2"/>
  <c r="L15" i="2"/>
  <c r="AA14" i="2"/>
  <c r="L14" i="2"/>
  <c r="AA13" i="2"/>
  <c r="L13" i="2"/>
  <c r="AA12" i="2"/>
  <c r="L12" i="2"/>
  <c r="AA11" i="2"/>
  <c r="L11" i="2"/>
  <c r="AA10" i="2"/>
  <c r="L10" i="2"/>
  <c r="AA9" i="2"/>
  <c r="L9" i="2"/>
  <c r="AA8" i="2"/>
  <c r="L8" i="2"/>
  <c r="AA7" i="2"/>
  <c r="L7" i="2"/>
  <c r="AA6" i="2"/>
  <c r="L6" i="2"/>
  <c r="AA5" i="2"/>
  <c r="L5" i="2"/>
  <c r="AA4" i="2"/>
  <c r="L4" i="2"/>
  <c r="AA3" i="2"/>
  <c r="L3" i="2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</calcChain>
</file>

<file path=xl/sharedStrings.xml><?xml version="1.0" encoding="utf-8"?>
<sst xmlns="http://schemas.openxmlformats.org/spreadsheetml/2006/main" count="196" uniqueCount="136">
  <si>
    <t>取费标准</t>
  </si>
  <si>
    <t>单位：‰</t>
  </si>
  <si>
    <t>付费项目</t>
  </si>
  <si>
    <t xml:space="preserve">分档累进计费标准    </t>
  </si>
  <si>
    <t>100万元以内（含）</t>
  </si>
  <si>
    <t>10亿元以上</t>
  </si>
  <si>
    <t>1.单价合同项目结算审核
2.按实结算项目结算审核
3.预算审核（按实量价核算）</t>
  </si>
  <si>
    <t>总价合同</t>
  </si>
  <si>
    <t>4.总价合同项目结算审核</t>
  </si>
  <si>
    <t>总价包干部分审前工程造价</t>
  </si>
  <si>
    <t>实际量价核算的审前工程造价</t>
  </si>
  <si>
    <t>房屋建筑工程</t>
  </si>
  <si>
    <t>公路道路桥梁隧道管道其他市政</t>
  </si>
  <si>
    <t>园林景观工程</t>
  </si>
  <si>
    <t>专项安装</t>
  </si>
  <si>
    <t>序号</t>
  </si>
  <si>
    <t>项目编号</t>
  </si>
  <si>
    <t>项目名称</t>
  </si>
  <si>
    <t>报审金额</t>
  </si>
  <si>
    <t>造价咨询费（元）</t>
  </si>
  <si>
    <t>委托时间</t>
  </si>
  <si>
    <t>协审单位</t>
  </si>
  <si>
    <t>结论书编号</t>
  </si>
  <si>
    <t>出文时间</t>
  </si>
  <si>
    <t>审核人</t>
  </si>
  <si>
    <t>旧算法造价咨询费</t>
  </si>
  <si>
    <t>二科算法</t>
  </si>
  <si>
    <t>三科算法</t>
  </si>
  <si>
    <r>
      <rPr>
        <b/>
        <sz val="11"/>
        <rFont val="宋体"/>
        <family val="3"/>
        <charset val="134"/>
        <scheme val="minor"/>
      </rPr>
      <t>假设1</t>
    </r>
    <r>
      <rPr>
        <b/>
        <sz val="11"/>
        <color theme="1"/>
        <rFont val="宋体"/>
        <family val="3"/>
        <charset val="134"/>
        <scheme val="minor"/>
      </rPr>
      <t>5%变更算法</t>
    </r>
  </si>
  <si>
    <r>
      <rPr>
        <b/>
        <sz val="11"/>
        <rFont val="宋体"/>
        <family val="3"/>
        <charset val="134"/>
        <scheme val="minor"/>
      </rPr>
      <t>假设2</t>
    </r>
    <r>
      <rPr>
        <b/>
        <sz val="11"/>
        <color theme="1"/>
        <rFont val="宋体"/>
        <family val="3"/>
        <charset val="134"/>
        <scheme val="minor"/>
      </rPr>
      <t>0%变更算法</t>
    </r>
  </si>
  <si>
    <t>预算费率算法</t>
  </si>
  <si>
    <t>单价合同及按实结算费率算法</t>
  </si>
  <si>
    <t>二科算法（超40%变更率按单价合同费率）</t>
  </si>
  <si>
    <t>二科算法/旧算法</t>
  </si>
  <si>
    <r>
      <rPr>
        <b/>
        <sz val="11"/>
        <rFont val="宋体"/>
        <family val="3"/>
        <charset val="134"/>
        <scheme val="minor"/>
      </rPr>
      <t>变更金额占比（实际量价核算的审前工程造价</t>
    </r>
    <r>
      <rPr>
        <b/>
        <sz val="11"/>
        <rFont val="宋体"/>
        <family val="3"/>
        <charset val="134"/>
        <scheme val="minor"/>
      </rPr>
      <t>/报审金额)</t>
    </r>
  </si>
  <si>
    <t>2022XM0711-CZ2023031357</t>
  </si>
  <si>
    <t>厦门华侨亚热带植物引种园园区灌溉系统、消防设施改造项目</t>
  </si>
  <si>
    <t>福建联审工程管理咨询有限公司</t>
  </si>
  <si>
    <t>〔2023〕厦财结审912号</t>
  </si>
  <si>
    <t>吕振汉</t>
  </si>
  <si>
    <t>2022XM0345-CZ2023030532</t>
  </si>
  <si>
    <t>园区展园改造提升</t>
  </si>
  <si>
    <t>〔2023〕厦财结审606号</t>
  </si>
  <si>
    <t>罗素华</t>
  </si>
  <si>
    <t>2020XM0130-CZ2023030168</t>
  </si>
  <si>
    <t>诚毅科技探索中心科普体验升级改造项目(展项深化设计、制作安装及相关服务) 诚毅科技探索中心科普体验升级改造项目包件二</t>
  </si>
  <si>
    <t>建银工程咨询有限责任公司</t>
  </si>
  <si>
    <t>〔2023〕厦财结审384号</t>
  </si>
  <si>
    <t>2017XM0905-CS2023030019</t>
  </si>
  <si>
    <t>厦门市第二医院海沧院区二期扩建工程---厦门市海沧医院二期扩建工程污水处理系统及附属项目</t>
  </si>
  <si>
    <t>厦门科毅工程管理有限公司</t>
  </si>
  <si>
    <t>2021XM0661-CZ2023030680</t>
  </si>
  <si>
    <t>东西向山海健康步道便民服务房配套工程---施工</t>
  </si>
  <si>
    <t>〔2023〕厦财结审974号</t>
  </si>
  <si>
    <t>刘晓兵</t>
  </si>
  <si>
    <t>2020XM1499-CS2022031460</t>
  </si>
  <si>
    <t>沈海高速公路（厦门段）同安互通、服务区、高边坡绿化提升工程</t>
  </si>
  <si>
    <t>厦门中达利工程管理有限公司</t>
  </si>
  <si>
    <t>〔2023〕厦财结审696号</t>
  </si>
  <si>
    <t>翁霞</t>
  </si>
  <si>
    <t>2019XM2145-CZ2024030397</t>
  </si>
  <si>
    <t>兑山原水泵站迁改工程---出水管施工</t>
  </si>
  <si>
    <t>〔2024〕厦财结审730号</t>
  </si>
  <si>
    <t>戴斯佳</t>
  </si>
  <si>
    <t>2020XM1526-CZ2023030702</t>
  </si>
  <si>
    <t>厦门市气象局狐尾山园区提升改造项目---厦门市气象局狐尾山园区提升改造项目（施工）</t>
  </si>
  <si>
    <t>〔2023〕厦财结审980号</t>
  </si>
  <si>
    <t>2018XM3359-CZ2023030361</t>
  </si>
  <si>
    <t>环东海域新城东坑湾琼头片区污水管网工程---（施工）</t>
  </si>
  <si>
    <t>〔2023〕厦财结审732号</t>
  </si>
  <si>
    <t>邢洪波</t>
  </si>
  <si>
    <t>2020XM1323-CZ2023030890</t>
  </si>
  <si>
    <t>马銮湾污水处理厂二期工程---污水处理厂（设备）</t>
  </si>
  <si>
    <t>〔2023〕厦财结审976号</t>
  </si>
  <si>
    <t>2021XM0784-CZ2023031252</t>
  </si>
  <si>
    <t>厦门老年大学扩建项目---基坑支护、土石方工程、桩基</t>
  </si>
  <si>
    <t>〔2023〕厦财结审1211号</t>
  </si>
  <si>
    <t>蔡玉莉</t>
  </si>
  <si>
    <t>2019XM1501-2022BS031287</t>
  </si>
  <si>
    <t>轨道交通2号线沿线市政改造及景观提升工程（海沧段）---B标段-——建安工程费</t>
  </si>
  <si>
    <t>〔2023〕厦财结审279号</t>
  </si>
  <si>
    <t>2021XM1018-CZ2024030181</t>
  </si>
  <si>
    <t>环东海域新城中洲综合服务中心项目---（施工）</t>
  </si>
  <si>
    <t>〔2024〕厦财结审375号</t>
  </si>
  <si>
    <t>2017XM0650-CZ2023030079</t>
  </si>
  <si>
    <t>东界路（翔安西路-石厝路段）道路工程---道路工程</t>
  </si>
  <si>
    <t>〔2023〕厦财结审983号</t>
  </si>
  <si>
    <t>黄佳英</t>
  </si>
  <si>
    <t>2020XM1616-CZ2023030435</t>
  </si>
  <si>
    <t>厦门现代服务业基地（丙洲片区）统建区I-5、I-6地块工程---厦门现代服务业基地（丙洲片区）统建区I-5、I-6地块桩基工程</t>
  </si>
  <si>
    <t>〔2023〕厦财结审730号</t>
  </si>
  <si>
    <t>2018XM2723-CS2022031400</t>
  </si>
  <si>
    <t>翔安区第三实验小学---项目</t>
  </si>
  <si>
    <t>〔2023〕厦财结审502号</t>
  </si>
  <si>
    <t>2018XM0912-CZ2021010010</t>
  </si>
  <si>
    <t>五缘湾五通服务中心---五通服务中心主体工程施工合同</t>
  </si>
  <si>
    <t>〔2023〕厦财结审60号</t>
  </si>
  <si>
    <t>2018XM2996-CZ2023030947</t>
  </si>
  <si>
    <t>同新路（五显-同翔大道段）改造工程---建安工程费用</t>
  </si>
  <si>
    <t>〔2024〕厦财结审82号</t>
  </si>
  <si>
    <t>2017XM1131-CZ2022031728</t>
  </si>
  <si>
    <t>厦门轨道交通1号线火炬园站地块配套项目---主体工程施工</t>
  </si>
  <si>
    <t>〔2023〕厦财结审1235号</t>
  </si>
  <si>
    <t>2020XM1601-CZ2023031491</t>
  </si>
  <si>
    <t>马銮湾新城鼎美高中项目---施工</t>
  </si>
  <si>
    <t>〔2023〕厦财结审1226号</t>
  </si>
  <si>
    <t>2020XM1368-CZ2023031479</t>
  </si>
  <si>
    <t>集美新城厦门二中集美校区项目---建筑安装工程费</t>
  </si>
  <si>
    <t>厦门市达学建设工程造价咨询有限公司</t>
  </si>
  <si>
    <t>〔2024〕厦财结审989号</t>
  </si>
  <si>
    <t>2018XM0360-CZ2023031348</t>
  </si>
  <si>
    <t>保障性住房雍厝公寓项目---地下室及上部主体工程</t>
  </si>
  <si>
    <t>〔2024〕厦财结审70号</t>
  </si>
  <si>
    <t>2018XM2678-2022BS031124</t>
  </si>
  <si>
    <t>集美新城亭北中学---建筑安装工程费</t>
  </si>
  <si>
    <t>〔2023〕厦财结审614号</t>
  </si>
  <si>
    <t>2021XM0206-CZ2021040002</t>
  </si>
  <si>
    <t>新店保障房地铁社区林前综合体（A01-03、A07地块）项目---代建总承包</t>
  </si>
  <si>
    <t>〔2023〕厦财结审44号</t>
  </si>
  <si>
    <t>未重点考虑变更率较大项目验证情况</t>
  </si>
  <si>
    <t>集美新城软件园三期高速公路以北研发区二期市政道路项目---集美新城软件园三期高速公路以北研发区二期市政道路（调整工程）</t>
  </si>
  <si>
    <t>轨道交通2号线五缘湾南站配套项目（±0.00以下工程）---施工</t>
  </si>
  <si>
    <t>马銮湾新城中心岛综合管廊工程---第Ⅰ标段施工招标</t>
  </si>
  <si>
    <t>福建省厦门双十中学翔安校区高中部---施工</t>
  </si>
  <si>
    <t>重点考虑变更率较大项目验证情况</t>
  </si>
  <si>
    <t>注：
1.付费基数为审前工程造价。
2.项目实际取费=上述取费标准*投标下浮率*专业工程调整系数。
3.项目单项委托付费标准起点最低为2000元，最高封顶50万元，不可竞争固定费用，不参与下浮。
4.项目抽检复核费用按上述取费标准的8%计取，不可竞争固定费用。
5.专业工程调整系数如下：房屋建筑工程1，公路道路桥梁隧道管道其他市政0.9，给水污水泵站垃圾厂1.2，水利电力0.9，机场跑道、城市轨道0.8，港口工程0.8，井巷矿山工程1.1，园林景观工程1.3，装饰装修1.3，仿古建筑1.8，专项安装1.2。</t>
    <phoneticPr fontId="7" type="noConversion"/>
  </si>
  <si>
    <t>100万元-500万元（含）</t>
    <phoneticPr fontId="7" type="noConversion"/>
  </si>
  <si>
    <t>500万元-1000万元（含）</t>
    <phoneticPr fontId="7" type="noConversion"/>
  </si>
  <si>
    <t>0.1亿元-0.2亿元（含）</t>
    <phoneticPr fontId="7" type="noConversion"/>
  </si>
  <si>
    <t>0.2亿元-0.5亿元（含）</t>
    <phoneticPr fontId="7" type="noConversion"/>
  </si>
  <si>
    <t>0.5亿元-1亿元（含）</t>
    <phoneticPr fontId="7" type="noConversion"/>
  </si>
  <si>
    <t>1亿元-2亿元（含）</t>
    <phoneticPr fontId="7" type="noConversion"/>
  </si>
  <si>
    <t>2亿元-3亿元（含）</t>
    <phoneticPr fontId="7" type="noConversion"/>
  </si>
  <si>
    <t>3亿元-4亿元（含）</t>
    <phoneticPr fontId="7" type="noConversion"/>
  </si>
  <si>
    <t>4亿元-5亿元（含）</t>
    <phoneticPr fontId="7" type="noConversion"/>
  </si>
  <si>
    <t>5亿元-10亿元（含）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</si>
</sst>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0.00_ "/>
    <numFmt numFmtId="178" formatCode="0_ "/>
    <numFmt numFmtId="179" formatCode="0.00;_䃿"/>
  </numFmts>
  <fonts count="10" x14ac:knownFonts="1">
    <font>
      <sz val="11"/>
      <color theme="1"/>
      <name val="宋体"/>
      <charset val="134"/>
      <scheme val="minor"/>
    </font>
    <font>
      <b/>
      <sz val="11"/>
      <name val="宋体"/>
      <family val="3"/>
      <charset val="134"/>
      <scheme val="minor"/>
    </font>
    <font>
      <sz val="11"/>
      <color rgb="FF333333"/>
      <name val="Tahoma"/>
      <family val="2"/>
    </font>
    <font>
      <sz val="11"/>
      <name val="Tahoma"/>
      <family val="2"/>
    </font>
    <font>
      <b/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76" fontId="3" fillId="0" borderId="3" xfId="0" applyNumberFormat="1" applyFont="1" applyBorder="1" applyAlignment="1">
      <alignment horizontal="left" vertical="center" wrapText="1"/>
    </xf>
    <xf numFmtId="176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76" fontId="3" fillId="3" borderId="3" xfId="0" applyNumberFormat="1" applyFont="1" applyFill="1" applyBorder="1" applyAlignment="1">
      <alignment horizontal="left" vertical="center" wrapText="1"/>
    </xf>
    <xf numFmtId="176" fontId="2" fillId="3" borderId="3" xfId="0" applyNumberFormat="1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176" fontId="3" fillId="3" borderId="1" xfId="0" applyNumberFormat="1" applyFont="1" applyFill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left" vertical="center" wrapText="1"/>
    </xf>
    <xf numFmtId="10" fontId="2" fillId="0" borderId="3" xfId="0" applyNumberFormat="1" applyFont="1" applyBorder="1" applyAlignment="1">
      <alignment horizontal="left" vertical="center" wrapText="1"/>
    </xf>
    <xf numFmtId="9" fontId="2" fillId="3" borderId="3" xfId="0" applyNumberFormat="1" applyFont="1" applyFill="1" applyBorder="1" applyAlignment="1">
      <alignment horizontal="left" vertical="center" wrapText="1"/>
    </xf>
    <xf numFmtId="10" fontId="2" fillId="4" borderId="3" xfId="0" applyNumberFormat="1" applyFont="1" applyFill="1" applyBorder="1" applyAlignment="1">
      <alignment horizontal="left" vertical="center" wrapText="1"/>
    </xf>
    <xf numFmtId="10" fontId="2" fillId="2" borderId="3" xfId="0" applyNumberFormat="1" applyFont="1" applyFill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left" vertical="center" wrapText="1"/>
    </xf>
    <xf numFmtId="3" fontId="2" fillId="0" borderId="3" xfId="0" applyNumberFormat="1" applyFont="1" applyBorder="1" applyAlignment="1">
      <alignment horizontal="left" vertical="center" wrapText="1"/>
    </xf>
    <xf numFmtId="22" fontId="2" fillId="0" borderId="3" xfId="0" applyNumberFormat="1" applyFont="1" applyBorder="1" applyAlignment="1">
      <alignment vertical="center" wrapText="1"/>
    </xf>
    <xf numFmtId="22" fontId="2" fillId="3" borderId="3" xfId="0" applyNumberFormat="1" applyFont="1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22" fontId="2" fillId="2" borderId="3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3" fontId="2" fillId="3" borderId="3" xfId="0" applyNumberFormat="1" applyFont="1" applyFill="1" applyBorder="1" applyAlignment="1">
      <alignment horizontal="left" vertical="center" wrapText="1"/>
    </xf>
    <xf numFmtId="22" fontId="2" fillId="3" borderId="0" xfId="0" applyNumberFormat="1" applyFont="1" applyFill="1" applyAlignment="1">
      <alignment vertical="center" wrapText="1"/>
    </xf>
    <xf numFmtId="3" fontId="2" fillId="4" borderId="3" xfId="0" applyNumberFormat="1" applyFont="1" applyFill="1" applyBorder="1" applyAlignment="1">
      <alignment horizontal="left" vertical="center" wrapText="1"/>
    </xf>
    <xf numFmtId="22" fontId="2" fillId="4" borderId="0" xfId="0" applyNumberFormat="1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178" fontId="0" fillId="0" borderId="3" xfId="0" applyNumberFormat="1" applyBorder="1" applyAlignment="1">
      <alignment horizontal="left" vertical="center" wrapText="1"/>
    </xf>
    <xf numFmtId="178" fontId="0" fillId="4" borderId="3" xfId="0" applyNumberFormat="1" applyFill="1" applyBorder="1" applyAlignment="1">
      <alignment horizontal="left" vertical="center" wrapText="1"/>
    </xf>
    <xf numFmtId="178" fontId="0" fillId="2" borderId="3" xfId="0" applyNumberFormat="1" applyFill="1" applyBorder="1" applyAlignment="1">
      <alignment horizontal="left" vertical="center" wrapText="1"/>
    </xf>
    <xf numFmtId="178" fontId="0" fillId="5" borderId="3" xfId="0" applyNumberForma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78" fontId="0" fillId="5" borderId="3" xfId="0" applyNumberFormat="1" applyFill="1" applyBorder="1" applyAlignment="1">
      <alignment vertical="center" wrapText="1"/>
    </xf>
    <xf numFmtId="176" fontId="0" fillId="0" borderId="3" xfId="0" applyNumberFormat="1" applyBorder="1" applyAlignment="1">
      <alignment horizontal="left" vertical="center" wrapText="1"/>
    </xf>
    <xf numFmtId="176" fontId="0" fillId="2" borderId="3" xfId="0" applyNumberFormat="1" applyFill="1" applyBorder="1" applyAlignment="1">
      <alignment horizontal="left" vertical="center" wrapText="1"/>
    </xf>
    <xf numFmtId="176" fontId="0" fillId="5" borderId="3" xfId="0" applyNumberFormat="1" applyFill="1" applyBorder="1" applyAlignment="1">
      <alignment horizontal="left" vertical="center" wrapText="1"/>
    </xf>
    <xf numFmtId="176" fontId="0" fillId="5" borderId="3" xfId="0" applyNumberFormat="1" applyFill="1" applyBorder="1" applyAlignment="1">
      <alignment vertical="center" wrapText="1"/>
    </xf>
    <xf numFmtId="177" fontId="0" fillId="0" borderId="3" xfId="0" applyNumberForma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0" xfId="0" applyFont="1">
      <alignment vertical="center"/>
    </xf>
    <xf numFmtId="179" fontId="9" fillId="6" borderId="3" xfId="0" applyNumberFormat="1" applyFont="1" applyFill="1" applyBorder="1" applyAlignment="1">
      <alignment horizontal="center" vertical="center" wrapText="1"/>
    </xf>
    <xf numFmtId="177" fontId="9" fillId="0" borderId="3" xfId="0" applyNumberFormat="1" applyFont="1" applyBorder="1" applyAlignment="1">
      <alignment horizontal="center" vertical="center"/>
    </xf>
    <xf numFmtId="177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6"/>
  <sheetViews>
    <sheetView tabSelected="1" workbookViewId="0">
      <selection activeCell="I5" sqref="I5"/>
    </sheetView>
  </sheetViews>
  <sheetFormatPr defaultColWidth="9" defaultRowHeight="13.5" x14ac:dyDescent="0.15"/>
  <cols>
    <col min="1" max="1" width="22.875" customWidth="1"/>
    <col min="2" max="12" width="10.5" customWidth="1"/>
    <col min="13" max="13" width="10.625" customWidth="1"/>
    <col min="15" max="15" width="12" customWidth="1"/>
  </cols>
  <sheetData>
    <row r="1" spans="1:13" x14ac:dyDescent="0.15">
      <c r="A1" s="55"/>
    </row>
    <row r="2" spans="1:13" ht="23.1" customHeight="1" x14ac:dyDescent="0.15">
      <c r="A2" s="62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27" customHeight="1" x14ac:dyDescent="0.15">
      <c r="A3" s="63" t="s">
        <v>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13" ht="18" customHeight="1" x14ac:dyDescent="0.15">
      <c r="A4" s="64" t="s">
        <v>2</v>
      </c>
      <c r="B4" s="64" t="s">
        <v>3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ht="54" x14ac:dyDescent="0.15">
      <c r="A5" s="64"/>
      <c r="B5" s="52" t="s">
        <v>4</v>
      </c>
      <c r="C5" s="52" t="s">
        <v>126</v>
      </c>
      <c r="D5" s="52" t="s">
        <v>127</v>
      </c>
      <c r="E5" s="52" t="s">
        <v>128</v>
      </c>
      <c r="F5" s="52" t="s">
        <v>129</v>
      </c>
      <c r="G5" s="52" t="s">
        <v>130</v>
      </c>
      <c r="H5" s="52" t="s">
        <v>131</v>
      </c>
      <c r="I5" s="52" t="s">
        <v>132</v>
      </c>
      <c r="J5" s="52" t="s">
        <v>133</v>
      </c>
      <c r="K5" s="52" t="s">
        <v>134</v>
      </c>
      <c r="L5" s="52" t="s">
        <v>135</v>
      </c>
      <c r="M5" s="52" t="s">
        <v>5</v>
      </c>
    </row>
    <row r="6" spans="1:13" ht="63" customHeight="1" x14ac:dyDescent="0.15">
      <c r="A6" s="53" t="s">
        <v>6</v>
      </c>
      <c r="B6" s="56">
        <v>3.8</v>
      </c>
      <c r="C6" s="57">
        <v>3.1</v>
      </c>
      <c r="D6" s="57">
        <v>1.601</v>
      </c>
      <c r="E6" s="57">
        <v>1.35</v>
      </c>
      <c r="F6" s="57">
        <v>1.3</v>
      </c>
      <c r="G6" s="57">
        <v>1.25</v>
      </c>
      <c r="H6" s="57">
        <v>0.7</v>
      </c>
      <c r="I6" s="57">
        <v>0.3</v>
      </c>
      <c r="J6" s="57">
        <v>0.21</v>
      </c>
      <c r="K6" s="57">
        <v>0.12</v>
      </c>
      <c r="L6" s="57">
        <v>0.1</v>
      </c>
      <c r="M6" s="57">
        <v>0.09</v>
      </c>
    </row>
    <row r="7" spans="1:13" s="54" customFormat="1" ht="48" customHeight="1" x14ac:dyDescent="0.15">
      <c r="A7" s="52" t="s">
        <v>8</v>
      </c>
      <c r="B7" s="58">
        <v>2.4319999999999999</v>
      </c>
      <c r="C7" s="58">
        <v>1.984</v>
      </c>
      <c r="D7" s="58">
        <v>1.1519999999999999</v>
      </c>
      <c r="E7" s="59">
        <v>1.04</v>
      </c>
      <c r="F7" s="59">
        <v>0.91</v>
      </c>
      <c r="G7" s="58">
        <v>0.748</v>
      </c>
      <c r="H7" s="58">
        <v>0.4</v>
      </c>
      <c r="I7" s="59">
        <v>0.2</v>
      </c>
      <c r="J7" s="59">
        <v>0.13</v>
      </c>
      <c r="K7" s="59">
        <v>0.08</v>
      </c>
      <c r="L7" s="59">
        <v>7.0000000000000007E-2</v>
      </c>
      <c r="M7" s="59">
        <v>0.06</v>
      </c>
    </row>
    <row r="8" spans="1:13" ht="110.1" customHeight="1" x14ac:dyDescent="0.15">
      <c r="A8" s="65" t="s">
        <v>125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7"/>
    </row>
    <row r="11" spans="1:13" x14ac:dyDescent="0.15">
      <c r="H11" s="60"/>
      <c r="I11" s="61"/>
    </row>
    <row r="12" spans="1:13" hidden="1" x14ac:dyDescent="0.15">
      <c r="H12" s="60"/>
      <c r="I12" s="61"/>
    </row>
    <row r="13" spans="1:13" hidden="1" x14ac:dyDescent="0.15">
      <c r="B13" t="e">
        <f>(1000000*#REF!+137644*#REF!)/1000</f>
        <v>#REF!</v>
      </c>
    </row>
    <row r="14" spans="1:13" hidden="1" x14ac:dyDescent="0.15">
      <c r="B14" t="e">
        <f>(1000000*#REF!+1386392*#REF!)/1000</f>
        <v>#REF!</v>
      </c>
    </row>
    <row r="15" spans="1:13" hidden="1" x14ac:dyDescent="0.15">
      <c r="B15" t="e">
        <f>(1000000*#REF!+1438812*#REF!)/1000</f>
        <v>#REF!</v>
      </c>
    </row>
    <row r="16" spans="1:13" hidden="1" x14ac:dyDescent="0.15">
      <c r="B16" t="e">
        <f>(1000000*#REF!+4000000*#REF!+169208*#REF!)/1000</f>
        <v>#REF!</v>
      </c>
    </row>
    <row r="17" spans="2:2" hidden="1" x14ac:dyDescent="0.15">
      <c r="B17" t="e">
        <f>(1000000*#REF!+4000000*#REF!+291125*#REF!)/1000</f>
        <v>#REF!</v>
      </c>
    </row>
    <row r="18" spans="2:2" hidden="1" x14ac:dyDescent="0.15">
      <c r="B18" t="e">
        <f>(1000000*#REF!+4000000*#REF!+5000000*#REF!+434445*#REF!)/1000</f>
        <v>#REF!</v>
      </c>
    </row>
    <row r="19" spans="2:2" hidden="1" x14ac:dyDescent="0.15">
      <c r="B19" t="e">
        <f>(1000000*#REF!+4000000*#REF!+5000000*#REF!+624279*#REF!)/1000</f>
        <v>#REF!</v>
      </c>
    </row>
    <row r="20" spans="2:2" hidden="1" x14ac:dyDescent="0.15">
      <c r="B20" t="e">
        <f>(1000000*#REF!+4000000*#REF!+5000000*#REF!+9670828*#REF!)/1000</f>
        <v>#REF!</v>
      </c>
    </row>
    <row r="21" spans="2:2" hidden="1" x14ac:dyDescent="0.15">
      <c r="B21" t="e">
        <f>(1000000*#REF!+4000000*#REF!+5000000*#REF!+10000000*#REF!+410544*#REF!)/1000</f>
        <v>#REF!</v>
      </c>
    </row>
    <row r="22" spans="2:2" hidden="1" x14ac:dyDescent="0.15">
      <c r="B22" t="e">
        <f>(1000000*#REF!+4000000*#REF!+5000000*#REF!+10000000*#REF!+9927919*#REF!)/1000</f>
        <v>#REF!</v>
      </c>
    </row>
    <row r="23" spans="2:2" hidden="1" x14ac:dyDescent="0.15">
      <c r="B23" t="e">
        <f>(1000000*#REF!+4000000*#REF!+5000000*#REF!+10000000*#REF!+13872328*#REF!)/1000</f>
        <v>#REF!</v>
      </c>
    </row>
    <row r="24" spans="2:2" hidden="1" x14ac:dyDescent="0.15">
      <c r="B24" t="e">
        <f>(1000000*#REF!+4000000*#REF!+5000000*#REF!+10000000*#REF!+30000000*#REF!+493433*#REF!)/1000</f>
        <v>#REF!</v>
      </c>
    </row>
    <row r="25" spans="2:2" hidden="1" x14ac:dyDescent="0.15">
      <c r="B25" t="e">
        <f>(1000000*#REF!+4000000*#REF!+5000000*#REF!+10000000*#REF!+30000000*#REF!+612377*#REF!)/1000</f>
        <v>#REF!</v>
      </c>
    </row>
    <row r="26" spans="2:2" hidden="1" x14ac:dyDescent="0.15">
      <c r="B26" t="e">
        <f>(1000000*#REF!+4000000*#REF!+5000000*#REF!+10000000*#REF!+30000000*#REF!+20663632*#REF!)/1000</f>
        <v>#REF!</v>
      </c>
    </row>
    <row r="27" spans="2:2" hidden="1" x14ac:dyDescent="0.15">
      <c r="B27" t="e">
        <f>(1000000*#REF!+4000000*#REF!+5000000*#REF!+10000000*#REF!+30000000*#REF!+31129246*#REF!)/1000</f>
        <v>#REF!</v>
      </c>
    </row>
    <row r="28" spans="2:2" hidden="1" x14ac:dyDescent="0.15">
      <c r="B28" t="e">
        <f>(1000000*#REF!+4000000*#REF!+5000000*#REF!+10000000*#REF!+30000000*#REF!+45390326*#REF!)/1000</f>
        <v>#REF!</v>
      </c>
    </row>
    <row r="29" spans="2:2" hidden="1" x14ac:dyDescent="0.15">
      <c r="B29" t="e">
        <f>(1000000*#REF!+4000000*#REF!+5000000*#REF!+10000000*#REF!+30000000*#REF!+50000000*#REF!+2919498*#REF!)/1000</f>
        <v>#REF!</v>
      </c>
    </row>
    <row r="30" spans="2:2" hidden="1" x14ac:dyDescent="0.15">
      <c r="B30" t="e">
        <f>(1000000*#REF!+4000000*#REF!+5000000*#REF!+10000000*#REF!+30000000*#REF!+50000000*#REF!+98664647*#REF!)/1000</f>
        <v>#REF!</v>
      </c>
    </row>
    <row r="31" spans="2:2" hidden="1" x14ac:dyDescent="0.15">
      <c r="B31" t="e">
        <f>(1000000*#REF!+4000000*#REF!+5000000*#REF!+10000000*#REF!+30000000*#REF!+50000000*#REF!+100000000*#REF!+8203735*#REF!)/1000</f>
        <v>#REF!</v>
      </c>
    </row>
    <row r="32" spans="2:2" hidden="1" x14ac:dyDescent="0.15">
      <c r="B32" t="e">
        <f>(1000000*#REF!+4000000*#REF!+5000000*#REF!+10000000*#REF!+30000000*#REF!+50000000*#REF!+100000000*#REF!+98983704*#REF!)/1000</f>
        <v>#REF!</v>
      </c>
    </row>
    <row r="33" spans="2:2" hidden="1" x14ac:dyDescent="0.15">
      <c r="B33" t="e">
        <f>(1000000*#REF!+4000000*#REF!+5000000*#REF!+10000000*#REF!+30000000*#REF!+50000000*#REF!+100000000*#REF!+100000000*#REF!+6705355*#REF!)/1000</f>
        <v>#REF!</v>
      </c>
    </row>
    <row r="34" spans="2:2" hidden="1" x14ac:dyDescent="0.15">
      <c r="B34" t="e">
        <f>(1000000*#REF!+4000000*#REF!+5000000*#REF!+10000000*#REF!+30000000*#REF!+50000000*#REF!+100000000*#REF!+100000000*#REF!+100000000*#REF!+75423372*#REF!)/1000</f>
        <v>#REF!</v>
      </c>
    </row>
    <row r="35" spans="2:2" hidden="1" x14ac:dyDescent="0.15">
      <c r="B35" t="e">
        <f>(1000000*#REF!+4000000*#REF!+5000000*#REF!+10000000*#REF!+30000000*#REF!+50000000*#REF!+100000000*#REF!+100000000*#REF!+100000000*#REF!+100000000*#REF!+72445836*#REF!)/1000</f>
        <v>#REF!</v>
      </c>
    </row>
    <row r="36" spans="2:2" hidden="1" x14ac:dyDescent="0.15">
      <c r="B36" t="e">
        <f>(1000000*#REF!+4000000*#REF!+5000000*#REF!+10000000*#REF!+30000000*#REF!+50000000*#REF!+100000000*#REF!+100000000*#REF!+100000000*#REF!+100000000*#REF!+500000000*#REF!+468467900*#REF!)/1000</f>
        <v>#REF!</v>
      </c>
    </row>
    <row r="37" spans="2:2" hidden="1" x14ac:dyDescent="0.15">
      <c r="B37" t="e">
        <f>(1000000*#REF!+4000000*#REF!+5000000*#REF!+10000000*#REF!+30000000*#REF!+50000000*#REF!+82605525*#REF!)/1000</f>
        <v>#REF!</v>
      </c>
    </row>
    <row r="38" spans="2:2" hidden="1" x14ac:dyDescent="0.15">
      <c r="B38" t="e">
        <f>(1000000*#REF!+4000000*#REF!+5000000*#REF!+10000000*#REF!+30000000*#REF!+50000000*#REF!+100000000*#REF!+11998477*#REF!)/1000</f>
        <v>#REF!</v>
      </c>
    </row>
    <row r="39" spans="2:2" hidden="1" x14ac:dyDescent="0.15">
      <c r="B39" t="e">
        <f>(1000000*#REF!+4000000*#REF!+5000000*#REF!+10000000*#REF!+30000000*#REF!+50000000*#REF!+100000000*#REF!+66534853*#REF!)/1000</f>
        <v>#REF!</v>
      </c>
    </row>
    <row r="40" spans="2:2" hidden="1" x14ac:dyDescent="0.15">
      <c r="B40" t="e">
        <f>(1000000*#REF!+4000000*#REF!+5000000*#REF!+10000000*#REF!+30000000*#REF!+50000000*#REF!+100000000*#REF!+100000000*#REF!+37683313*#REF!)/1000</f>
        <v>#REF!</v>
      </c>
    </row>
    <row r="41" spans="2:2" hidden="1" x14ac:dyDescent="0.15"/>
    <row r="42" spans="2:2" hidden="1" x14ac:dyDescent="0.15"/>
    <row r="43" spans="2:2" hidden="1" x14ac:dyDescent="0.15"/>
    <row r="44" spans="2:2" hidden="1" x14ac:dyDescent="0.15"/>
    <row r="45" spans="2:2" hidden="1" x14ac:dyDescent="0.15"/>
    <row r="46" spans="2:2" hidden="1" x14ac:dyDescent="0.15"/>
    <row r="47" spans="2:2" hidden="1" x14ac:dyDescent="0.15"/>
    <row r="48" spans="2:2" hidden="1" x14ac:dyDescent="0.15"/>
    <row r="49" hidden="1" x14ac:dyDescent="0.15"/>
    <row r="50" hidden="1" x14ac:dyDescent="0.15"/>
    <row r="51" hidden="1" x14ac:dyDescent="0.15"/>
    <row r="52" hidden="1" x14ac:dyDescent="0.15"/>
    <row r="53" hidden="1" x14ac:dyDescent="0.15"/>
    <row r="54" hidden="1" x14ac:dyDescent="0.15"/>
    <row r="55" hidden="1" x14ac:dyDescent="0.15"/>
    <row r="56" hidden="1" x14ac:dyDescent="0.15"/>
    <row r="57" hidden="1" x14ac:dyDescent="0.15"/>
    <row r="58" hidden="1" x14ac:dyDescent="0.15"/>
    <row r="59" hidden="1" x14ac:dyDescent="0.15"/>
    <row r="60" hidden="1" x14ac:dyDescent="0.15"/>
    <row r="61" hidden="1" x14ac:dyDescent="0.15"/>
    <row r="62" hidden="1" x14ac:dyDescent="0.15"/>
    <row r="63" hidden="1" x14ac:dyDescent="0.15"/>
    <row r="64" hidden="1" x14ac:dyDescent="0.15"/>
    <row r="65" hidden="1" x14ac:dyDescent="0.15"/>
    <row r="66" hidden="1" x14ac:dyDescent="0.15"/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  <row r="119" hidden="1" x14ac:dyDescent="0.15"/>
    <row r="120" hidden="1" x14ac:dyDescent="0.15"/>
    <row r="121" hidden="1" x14ac:dyDescent="0.15"/>
    <row r="122" hidden="1" x14ac:dyDescent="0.15"/>
    <row r="123" hidden="1" x14ac:dyDescent="0.15"/>
    <row r="124" hidden="1" x14ac:dyDescent="0.15"/>
    <row r="125" hidden="1" x14ac:dyDescent="0.15"/>
    <row r="126" hidden="1" x14ac:dyDescent="0.15"/>
    <row r="127" hidden="1" x14ac:dyDescent="0.15"/>
    <row r="128" hidden="1" x14ac:dyDescent="0.15"/>
    <row r="129" hidden="1" x14ac:dyDescent="0.15"/>
    <row r="130" hidden="1" x14ac:dyDescent="0.15"/>
    <row r="131" hidden="1" x14ac:dyDescent="0.15"/>
    <row r="132" hidden="1" x14ac:dyDescent="0.15"/>
    <row r="133" hidden="1" x14ac:dyDescent="0.15"/>
    <row r="134" hidden="1" x14ac:dyDescent="0.15"/>
    <row r="135" hidden="1" x14ac:dyDescent="0.15"/>
    <row r="136" hidden="1" x14ac:dyDescent="0.15"/>
    <row r="137" hidden="1" x14ac:dyDescent="0.15"/>
    <row r="138" hidden="1" x14ac:dyDescent="0.15"/>
    <row r="139" hidden="1" x14ac:dyDescent="0.15"/>
    <row r="140" hidden="1" x14ac:dyDescent="0.15"/>
    <row r="141" hidden="1" x14ac:dyDescent="0.15"/>
    <row r="142" hidden="1" x14ac:dyDescent="0.15"/>
    <row r="143" hidden="1" x14ac:dyDescent="0.15"/>
    <row r="144" hidden="1" x14ac:dyDescent="0.15"/>
    <row r="145" hidden="1" x14ac:dyDescent="0.15"/>
    <row r="146" hidden="1" x14ac:dyDescent="0.15"/>
    <row r="147" hidden="1" x14ac:dyDescent="0.15"/>
    <row r="148" hidden="1" x14ac:dyDescent="0.15"/>
    <row r="149" hidden="1" x14ac:dyDescent="0.15"/>
    <row r="150" hidden="1" x14ac:dyDescent="0.15"/>
    <row r="151" hidden="1" x14ac:dyDescent="0.15"/>
    <row r="152" hidden="1" x14ac:dyDescent="0.15"/>
    <row r="153" hidden="1" x14ac:dyDescent="0.15"/>
    <row r="154" hidden="1" x14ac:dyDescent="0.15"/>
    <row r="155" hidden="1" x14ac:dyDescent="0.15"/>
    <row r="156" hidden="1" x14ac:dyDescent="0.15"/>
    <row r="157" hidden="1" x14ac:dyDescent="0.15"/>
    <row r="158" hidden="1" x14ac:dyDescent="0.15"/>
    <row r="159" hidden="1" x14ac:dyDescent="0.15"/>
    <row r="160" hidden="1" x14ac:dyDescent="0.15"/>
    <row r="161" hidden="1" x14ac:dyDescent="0.15"/>
    <row r="162" hidden="1" x14ac:dyDescent="0.15"/>
    <row r="163" hidden="1" x14ac:dyDescent="0.15"/>
    <row r="164" hidden="1" x14ac:dyDescent="0.15"/>
    <row r="165" hidden="1" x14ac:dyDescent="0.15"/>
    <row r="166" hidden="1" x14ac:dyDescent="0.15"/>
  </sheetData>
  <mergeCells count="7">
    <mergeCell ref="H11:H12"/>
    <mergeCell ref="I11:I12"/>
    <mergeCell ref="A2:M2"/>
    <mergeCell ref="A3:M3"/>
    <mergeCell ref="B4:M4"/>
    <mergeCell ref="A8:M8"/>
    <mergeCell ref="A4:A5"/>
  </mergeCells>
  <phoneticPr fontId="7" type="noConversion"/>
  <pageMargins left="0.75" right="0.75" top="1" bottom="1" header="0.5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32"/>
  <sheetViews>
    <sheetView topLeftCell="B1" workbookViewId="0">
      <selection activeCell="V32" sqref="V32"/>
    </sheetView>
  </sheetViews>
  <sheetFormatPr defaultColWidth="9" defaultRowHeight="13.5" x14ac:dyDescent="0.15"/>
  <cols>
    <col min="1" max="1" width="9" style="2" hidden="1" customWidth="1"/>
    <col min="2" max="2" width="7.375" style="2" customWidth="1"/>
    <col min="3" max="3" width="15" style="3" hidden="1" customWidth="1"/>
    <col min="4" max="4" width="31" style="3" customWidth="1"/>
    <col min="5" max="5" width="14.125" style="3" customWidth="1"/>
    <col min="6" max="6" width="13.5" style="3" customWidth="1"/>
    <col min="7" max="7" width="14.375" style="3" customWidth="1"/>
    <col min="8" max="8" width="10.875" style="3" hidden="1" customWidth="1"/>
    <col min="9" max="11" width="9" style="3" hidden="1" customWidth="1"/>
    <col min="12" max="12" width="16" style="3" customWidth="1"/>
    <col min="13" max="13" width="9" style="3" hidden="1" customWidth="1"/>
    <col min="14" max="14" width="24" style="3" hidden="1" customWidth="1"/>
    <col min="15" max="15" width="22.625" style="3" hidden="1" customWidth="1"/>
    <col min="16" max="16" width="26" style="3" hidden="1" customWidth="1"/>
    <col min="17" max="18" width="9" style="3" hidden="1" customWidth="1"/>
    <col min="19" max="20" width="10.5" style="3" customWidth="1"/>
    <col min="21" max="21" width="11.25" style="3" customWidth="1"/>
    <col min="22" max="26" width="10.5" style="3" customWidth="1"/>
    <col min="27" max="27" width="8.5" style="3" customWidth="1"/>
    <col min="28" max="16384" width="9" style="3"/>
  </cols>
  <sheetData>
    <row r="1" spans="1:27" ht="13.5" customHeight="1" x14ac:dyDescent="0.15">
      <c r="A1" s="68" t="s">
        <v>15</v>
      </c>
      <c r="B1" s="68" t="s">
        <v>15</v>
      </c>
      <c r="C1" s="68" t="s">
        <v>16</v>
      </c>
      <c r="D1" s="68" t="s">
        <v>17</v>
      </c>
      <c r="E1" s="68" t="s">
        <v>18</v>
      </c>
      <c r="F1" s="72" t="s">
        <v>7</v>
      </c>
      <c r="G1" s="73"/>
      <c r="H1" s="73"/>
      <c r="I1" s="73"/>
      <c r="J1" s="73"/>
      <c r="K1" s="73"/>
      <c r="L1" s="74"/>
      <c r="M1" s="70" t="s">
        <v>19</v>
      </c>
      <c r="N1" s="68" t="s">
        <v>20</v>
      </c>
      <c r="O1" s="68" t="s">
        <v>21</v>
      </c>
      <c r="P1" s="68" t="s">
        <v>22</v>
      </c>
      <c r="Q1" s="68" t="s">
        <v>23</v>
      </c>
      <c r="R1" s="68" t="s">
        <v>24</v>
      </c>
      <c r="S1" s="68" t="s">
        <v>25</v>
      </c>
      <c r="T1" s="68" t="s">
        <v>26</v>
      </c>
      <c r="U1" s="68" t="s">
        <v>27</v>
      </c>
      <c r="V1" s="68" t="s">
        <v>28</v>
      </c>
      <c r="W1" s="68" t="s">
        <v>29</v>
      </c>
      <c r="X1" s="68" t="s">
        <v>30</v>
      </c>
      <c r="Y1" s="70" t="s">
        <v>31</v>
      </c>
      <c r="Z1" s="68" t="s">
        <v>32</v>
      </c>
      <c r="AA1" s="71" t="s">
        <v>33</v>
      </c>
    </row>
    <row r="2" spans="1:27" ht="54" x14ac:dyDescent="0.15">
      <c r="A2" s="69"/>
      <c r="B2" s="69"/>
      <c r="C2" s="69"/>
      <c r="D2" s="69"/>
      <c r="E2" s="69"/>
      <c r="F2" s="10" t="s">
        <v>9</v>
      </c>
      <c r="G2" s="10" t="s">
        <v>10</v>
      </c>
      <c r="H2" s="11"/>
      <c r="I2" s="11"/>
      <c r="J2" s="11"/>
      <c r="K2" s="11"/>
      <c r="L2" s="21" t="s">
        <v>34</v>
      </c>
      <c r="M2" s="70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70"/>
      <c r="Z2" s="69"/>
      <c r="AA2" s="71"/>
    </row>
    <row r="3" spans="1:27" ht="28.5" x14ac:dyDescent="0.15">
      <c r="A3" s="4">
        <v>58</v>
      </c>
      <c r="B3" s="4">
        <v>1</v>
      </c>
      <c r="C3" s="5" t="s">
        <v>35</v>
      </c>
      <c r="D3" s="5" t="s">
        <v>36</v>
      </c>
      <c r="E3" s="12">
        <v>1137644</v>
      </c>
      <c r="F3" s="13">
        <v>1137888</v>
      </c>
      <c r="G3" s="13">
        <v>107516</v>
      </c>
      <c r="H3" s="14" t="s">
        <v>14</v>
      </c>
      <c r="I3" s="14">
        <v>1.2</v>
      </c>
      <c r="J3" s="22">
        <v>0.95</v>
      </c>
      <c r="K3" s="14">
        <v>10</v>
      </c>
      <c r="L3" s="23">
        <f t="shared" ref="L3:L31" si="0">G3/E3</f>
        <v>9.4507596400983079E-2</v>
      </c>
      <c r="M3" s="29">
        <v>2144</v>
      </c>
      <c r="N3" s="30">
        <v>45189.538645833301</v>
      </c>
      <c r="O3" s="5" t="s">
        <v>37</v>
      </c>
      <c r="P3" s="5" t="s">
        <v>38</v>
      </c>
      <c r="Q3" s="30">
        <v>45211.479780092603</v>
      </c>
      <c r="R3" s="5" t="s">
        <v>39</v>
      </c>
      <c r="S3" s="41">
        <v>1881.07</v>
      </c>
      <c r="T3" s="41">
        <v>2705.0856960000001</v>
      </c>
      <c r="U3" s="41">
        <v>2747.35266</v>
      </c>
      <c r="V3" s="41">
        <v>2366.9499839999999</v>
      </c>
      <c r="W3" s="41">
        <v>2705.0856960000001</v>
      </c>
      <c r="X3" s="47">
        <v>3381.3571200000001</v>
      </c>
      <c r="Y3" s="47">
        <v>4226.6963999999998</v>
      </c>
      <c r="Z3" s="41">
        <v>2705.0856960000001</v>
      </c>
      <c r="AA3" s="51">
        <f>T3/S3</f>
        <v>1.4380569016570357</v>
      </c>
    </row>
    <row r="4" spans="1:27" ht="28.5" x14ac:dyDescent="0.15">
      <c r="A4" s="4">
        <v>111</v>
      </c>
      <c r="B4" s="4">
        <v>2</v>
      </c>
      <c r="C4" s="5" t="s">
        <v>40</v>
      </c>
      <c r="D4" s="5" t="s">
        <v>41</v>
      </c>
      <c r="E4" s="12">
        <v>2386392</v>
      </c>
      <c r="F4" s="13">
        <v>2280000</v>
      </c>
      <c r="G4" s="13">
        <v>581901.42000000004</v>
      </c>
      <c r="H4" s="14" t="s">
        <v>13</v>
      </c>
      <c r="I4" s="14">
        <v>1.3</v>
      </c>
      <c r="J4" s="22">
        <v>0.95</v>
      </c>
      <c r="K4" s="14">
        <v>10</v>
      </c>
      <c r="L4" s="23">
        <f t="shared" si="0"/>
        <v>0.24384150634095322</v>
      </c>
      <c r="M4" s="14">
        <v>6974.3389999999999</v>
      </c>
      <c r="N4" s="30">
        <v>45041.5128819444</v>
      </c>
      <c r="O4" s="5" t="s">
        <v>37</v>
      </c>
      <c r="P4" s="5" t="s">
        <v>42</v>
      </c>
      <c r="Q4" s="30">
        <v>45112.671226851897</v>
      </c>
      <c r="R4" s="5" t="s">
        <v>43</v>
      </c>
      <c r="S4" s="41">
        <v>5674.23</v>
      </c>
      <c r="T4" s="41">
        <v>5182.6017279999996</v>
      </c>
      <c r="U4" s="41">
        <v>5263.5798800000002</v>
      </c>
      <c r="V4" s="41">
        <v>4534.7765120000004</v>
      </c>
      <c r="W4" s="41">
        <v>5182.6017279999996</v>
      </c>
      <c r="X4" s="47">
        <v>6478.25216</v>
      </c>
      <c r="Y4" s="47">
        <v>8097.8152</v>
      </c>
      <c r="Z4" s="41">
        <v>5182.6017279999996</v>
      </c>
      <c r="AA4" s="51">
        <f t="shared" ref="AA4:AA31" si="1">T4/S4</f>
        <v>0.91335771161902146</v>
      </c>
    </row>
    <row r="5" spans="1:27" ht="57" x14ac:dyDescent="0.15">
      <c r="A5" s="4">
        <v>17</v>
      </c>
      <c r="B5" s="4">
        <v>3</v>
      </c>
      <c r="C5" s="5" t="s">
        <v>44</v>
      </c>
      <c r="D5" s="5" t="s">
        <v>45</v>
      </c>
      <c r="E5" s="12">
        <v>2438812</v>
      </c>
      <c r="F5" s="13">
        <v>2344006</v>
      </c>
      <c r="G5" s="13">
        <v>94806</v>
      </c>
      <c r="H5" s="14" t="s">
        <v>14</v>
      </c>
      <c r="I5" s="14">
        <v>1.2</v>
      </c>
      <c r="J5" s="22">
        <v>0.9</v>
      </c>
      <c r="K5" s="14">
        <v>10</v>
      </c>
      <c r="L5" s="23">
        <f t="shared" si="0"/>
        <v>3.8873845134434308E-2</v>
      </c>
      <c r="M5" s="14">
        <v>3164.7453999999998</v>
      </c>
      <c r="N5" s="30">
        <v>45000.651296296302</v>
      </c>
      <c r="O5" s="5" t="s">
        <v>46</v>
      </c>
      <c r="P5" s="5" t="s">
        <v>47</v>
      </c>
      <c r="Q5" s="30">
        <v>45057.365752314799</v>
      </c>
      <c r="R5" s="5" t="s">
        <v>39</v>
      </c>
      <c r="S5" s="41">
        <v>2930.32</v>
      </c>
      <c r="T5" s="41">
        <v>5286.603008</v>
      </c>
      <c r="U5" s="41">
        <v>5369.2061800000001</v>
      </c>
      <c r="V5" s="41">
        <v>4625.7776320000003</v>
      </c>
      <c r="W5" s="41">
        <v>5286.603008</v>
      </c>
      <c r="X5" s="47">
        <v>6608.2537599999996</v>
      </c>
      <c r="Y5" s="47">
        <v>8260.3171999999995</v>
      </c>
      <c r="Z5" s="41">
        <v>5286.603008</v>
      </c>
      <c r="AA5" s="51">
        <f t="shared" si="1"/>
        <v>1.8041043326326134</v>
      </c>
    </row>
    <row r="6" spans="1:27" ht="27" customHeight="1" x14ac:dyDescent="0.15">
      <c r="A6" s="4">
        <v>46</v>
      </c>
      <c r="B6" s="4">
        <v>4</v>
      </c>
      <c r="C6" s="6" t="s">
        <v>48</v>
      </c>
      <c r="D6" s="6" t="s">
        <v>49</v>
      </c>
      <c r="E6" s="15">
        <v>5169208</v>
      </c>
      <c r="F6" s="16">
        <v>4750008</v>
      </c>
      <c r="G6" s="16">
        <v>419200</v>
      </c>
      <c r="H6" s="17" t="s">
        <v>14</v>
      </c>
      <c r="I6" s="17">
        <v>1.2</v>
      </c>
      <c r="J6" s="24">
        <v>0.95</v>
      </c>
      <c r="K6" s="17">
        <v>10</v>
      </c>
      <c r="L6" s="23">
        <f t="shared" si="0"/>
        <v>8.1095595302026924E-2</v>
      </c>
      <c r="M6" s="17">
        <v>7999.3200999999999</v>
      </c>
      <c r="N6" s="31">
        <v>44974.657650462999</v>
      </c>
      <c r="O6" s="6" t="s">
        <v>50</v>
      </c>
      <c r="P6" s="32"/>
      <c r="Q6" s="31">
        <v>45027.680636574099</v>
      </c>
      <c r="R6" s="6" t="s">
        <v>39</v>
      </c>
      <c r="S6" s="41">
        <v>7016.95</v>
      </c>
      <c r="T6" s="41">
        <v>10541.268991999999</v>
      </c>
      <c r="U6" s="41">
        <v>10706.0863052</v>
      </c>
      <c r="V6" s="41">
        <v>9234.4396799999995</v>
      </c>
      <c r="W6" s="41">
        <v>10562.927616000001</v>
      </c>
      <c r="X6" s="47">
        <v>13176.586240000001</v>
      </c>
      <c r="Y6" s="47">
        <v>16470.902008000001</v>
      </c>
      <c r="Z6" s="41">
        <v>10541.268991999999</v>
      </c>
      <c r="AA6" s="51">
        <f t="shared" si="1"/>
        <v>1.5022579599398598</v>
      </c>
    </row>
    <row r="7" spans="1:27" ht="27" customHeight="1" x14ac:dyDescent="0.15">
      <c r="A7" s="4">
        <v>120</v>
      </c>
      <c r="B7" s="4">
        <v>5</v>
      </c>
      <c r="C7" s="6" t="s">
        <v>51</v>
      </c>
      <c r="D7" s="6" t="s">
        <v>52</v>
      </c>
      <c r="E7" s="15">
        <v>5291125</v>
      </c>
      <c r="F7" s="16">
        <v>4176183</v>
      </c>
      <c r="G7" s="16">
        <v>1601124</v>
      </c>
      <c r="H7" s="17" t="s">
        <v>11</v>
      </c>
      <c r="I7" s="17">
        <v>1</v>
      </c>
      <c r="J7" s="24">
        <v>0.95</v>
      </c>
      <c r="K7" s="17">
        <v>10</v>
      </c>
      <c r="L7" s="23">
        <f t="shared" si="0"/>
        <v>0.30260558954853645</v>
      </c>
      <c r="M7" s="17">
        <v>12559.2441</v>
      </c>
      <c r="N7" s="31">
        <v>45090.700358796297</v>
      </c>
      <c r="O7" s="6" t="s">
        <v>50</v>
      </c>
      <c r="P7" s="6" t="s">
        <v>53</v>
      </c>
      <c r="Q7" s="31">
        <v>45224.637037036999</v>
      </c>
      <c r="R7" s="6" t="s">
        <v>54</v>
      </c>
      <c r="S7" s="41">
        <v>13220.26</v>
      </c>
      <c r="T7" s="41">
        <v>10666.111999999999</v>
      </c>
      <c r="U7" s="41">
        <v>10832.959231250001</v>
      </c>
      <c r="V7" s="41">
        <v>9351.48</v>
      </c>
      <c r="W7" s="41">
        <v>10703.376</v>
      </c>
      <c r="X7" s="47">
        <v>13332.64</v>
      </c>
      <c r="Y7" s="47">
        <v>16666.091124999999</v>
      </c>
      <c r="Z7" s="41">
        <v>10666.111999999999</v>
      </c>
      <c r="AA7" s="51">
        <f t="shared" si="1"/>
        <v>0.80680047139768807</v>
      </c>
    </row>
    <row r="8" spans="1:27" ht="28.5" x14ac:dyDescent="0.15">
      <c r="A8" s="4">
        <v>130</v>
      </c>
      <c r="B8" s="4">
        <v>6</v>
      </c>
      <c r="C8" s="6" t="s">
        <v>55</v>
      </c>
      <c r="D8" s="6" t="s">
        <v>56</v>
      </c>
      <c r="E8" s="15">
        <v>10434445</v>
      </c>
      <c r="F8" s="16">
        <v>8588100</v>
      </c>
      <c r="G8" s="16">
        <v>4647343</v>
      </c>
      <c r="H8" s="17" t="s">
        <v>13</v>
      </c>
      <c r="I8" s="17">
        <v>1.3</v>
      </c>
      <c r="J8" s="24">
        <v>0.9</v>
      </c>
      <c r="K8" s="17">
        <v>10</v>
      </c>
      <c r="L8" s="25">
        <f t="shared" si="0"/>
        <v>0.44538478088676492</v>
      </c>
      <c r="M8" s="17">
        <v>38022.715100000001</v>
      </c>
      <c r="N8" s="31">
        <v>44886.387129629598</v>
      </c>
      <c r="O8" s="6" t="s">
        <v>57</v>
      </c>
      <c r="P8" s="6" t="s">
        <v>58</v>
      </c>
      <c r="Q8" s="31">
        <v>45141.643217592602</v>
      </c>
      <c r="R8" s="6" t="s">
        <v>59</v>
      </c>
      <c r="S8" s="42">
        <v>32498.05</v>
      </c>
      <c r="T8" s="41">
        <v>15849.45824</v>
      </c>
      <c r="U8" s="41">
        <v>16114.4754875</v>
      </c>
      <c r="V8" s="41">
        <v>14256.04938</v>
      </c>
      <c r="W8" s="41">
        <v>16579.822800000002</v>
      </c>
      <c r="X8" s="47">
        <v>19811.822800000002</v>
      </c>
      <c r="Y8" s="47">
        <v>24791.500749999999</v>
      </c>
      <c r="Z8" s="47">
        <v>24791.500749999999</v>
      </c>
      <c r="AA8" s="51">
        <f t="shared" si="1"/>
        <v>0.48770490044787301</v>
      </c>
    </row>
    <row r="9" spans="1:27" ht="28.5" x14ac:dyDescent="0.15">
      <c r="A9" s="4">
        <v>67</v>
      </c>
      <c r="B9" s="4">
        <v>7</v>
      </c>
      <c r="C9" s="5" t="s">
        <v>60</v>
      </c>
      <c r="D9" s="5" t="s">
        <v>61</v>
      </c>
      <c r="E9" s="12">
        <v>10624279.390000001</v>
      </c>
      <c r="F9" s="13">
        <v>10816813</v>
      </c>
      <c r="G9" s="13">
        <v>1202744.3899999999</v>
      </c>
      <c r="H9" s="14" t="s">
        <v>14</v>
      </c>
      <c r="I9" s="14">
        <v>1.2</v>
      </c>
      <c r="J9" s="22">
        <v>0.9</v>
      </c>
      <c r="K9" s="14">
        <v>10</v>
      </c>
      <c r="L9" s="23">
        <f t="shared" si="0"/>
        <v>0.11320714994864228</v>
      </c>
      <c r="M9" s="14">
        <v>14619.08</v>
      </c>
      <c r="N9" s="30">
        <v>45411.669074074103</v>
      </c>
      <c r="O9" s="5" t="s">
        <v>57</v>
      </c>
      <c r="P9" s="5" t="s">
        <v>62</v>
      </c>
      <c r="Q9" s="30">
        <v>45497.651458333297</v>
      </c>
      <c r="R9" s="5" t="s">
        <v>63</v>
      </c>
      <c r="S9" s="41">
        <v>13536.18</v>
      </c>
      <c r="T9" s="41">
        <v>16007.400127999999</v>
      </c>
      <c r="U9" s="41">
        <v>16281.0548225</v>
      </c>
      <c r="V9" s="41">
        <v>14423.862636</v>
      </c>
      <c r="W9" s="41">
        <v>16777.25016</v>
      </c>
      <c r="X9" s="47">
        <v>20009.25016</v>
      </c>
      <c r="Y9" s="47">
        <v>25047.77665</v>
      </c>
      <c r="Z9" s="41">
        <v>16007.400127999999</v>
      </c>
      <c r="AA9" s="51">
        <f t="shared" si="1"/>
        <v>1.1825640711042553</v>
      </c>
    </row>
    <row r="10" spans="1:27" ht="42.75" x14ac:dyDescent="0.15">
      <c r="A10" s="4">
        <v>119</v>
      </c>
      <c r="B10" s="4">
        <v>8</v>
      </c>
      <c r="C10" s="5" t="s">
        <v>64</v>
      </c>
      <c r="D10" s="5" t="s">
        <v>65</v>
      </c>
      <c r="E10" s="12">
        <v>19670828</v>
      </c>
      <c r="F10" s="13">
        <v>18589787</v>
      </c>
      <c r="G10" s="13">
        <v>5858406</v>
      </c>
      <c r="H10" s="14" t="s">
        <v>11</v>
      </c>
      <c r="I10" s="14">
        <v>1</v>
      </c>
      <c r="J10" s="22">
        <v>0.9</v>
      </c>
      <c r="K10" s="14">
        <v>10</v>
      </c>
      <c r="L10" s="26">
        <f t="shared" si="0"/>
        <v>0.29782203372425403</v>
      </c>
      <c r="M10" s="33">
        <v>35699.0501</v>
      </c>
      <c r="N10" s="34">
        <v>45090.696898148097</v>
      </c>
      <c r="O10" s="35" t="s">
        <v>57</v>
      </c>
      <c r="P10" s="35" t="s">
        <v>66</v>
      </c>
      <c r="Q10" s="34">
        <v>45225.6257175926</v>
      </c>
      <c r="R10" s="35" t="s">
        <v>54</v>
      </c>
      <c r="S10" s="43">
        <v>39665.61</v>
      </c>
      <c r="T10" s="41">
        <v>23534.128895999998</v>
      </c>
      <c r="U10" s="41">
        <v>24219.401570000002</v>
      </c>
      <c r="V10" s="41">
        <v>22421.011952000001</v>
      </c>
      <c r="W10" s="41">
        <v>26185.661120000001</v>
      </c>
      <c r="X10" s="47">
        <v>29417.661120000001</v>
      </c>
      <c r="Y10" s="47">
        <v>37260.6178</v>
      </c>
      <c r="Z10" s="41">
        <v>23534.128895999998</v>
      </c>
      <c r="AA10" s="51">
        <f t="shared" si="1"/>
        <v>0.59331317219122559</v>
      </c>
    </row>
    <row r="11" spans="1:27" ht="42.75" x14ac:dyDescent="0.15">
      <c r="A11" s="4">
        <v>41</v>
      </c>
      <c r="B11" s="4">
        <v>9</v>
      </c>
      <c r="C11" s="5" t="s">
        <v>67</v>
      </c>
      <c r="D11" s="5" t="s">
        <v>68</v>
      </c>
      <c r="E11" s="12">
        <v>20410544</v>
      </c>
      <c r="F11" s="13">
        <v>21133085</v>
      </c>
      <c r="G11" s="13">
        <v>1565876</v>
      </c>
      <c r="H11" s="14" t="s">
        <v>12</v>
      </c>
      <c r="I11" s="14">
        <v>0.9</v>
      </c>
      <c r="J11" s="22">
        <v>0.95</v>
      </c>
      <c r="K11" s="14">
        <v>10</v>
      </c>
      <c r="L11" s="23">
        <f t="shared" si="0"/>
        <v>7.6718974271337406E-2</v>
      </c>
      <c r="M11" s="14">
        <v>15714.9815</v>
      </c>
      <c r="N11" s="30">
        <v>45031.683518518497</v>
      </c>
      <c r="O11" s="5" t="s">
        <v>37</v>
      </c>
      <c r="P11" s="5" t="s">
        <v>69</v>
      </c>
      <c r="Q11" s="30">
        <v>45156.376180555599</v>
      </c>
      <c r="R11" s="5" t="s">
        <v>70</v>
      </c>
      <c r="S11" s="41">
        <v>18380.099999999999</v>
      </c>
      <c r="T11" s="41">
        <v>24106.876032</v>
      </c>
      <c r="U11" s="41">
        <v>24855.159680000001</v>
      </c>
      <c r="V11" s="41">
        <v>23029.555784</v>
      </c>
      <c r="W11" s="41">
        <v>26901.59504</v>
      </c>
      <c r="X11" s="47">
        <v>30133.59504</v>
      </c>
      <c r="Y11" s="47">
        <v>38238.707199999997</v>
      </c>
      <c r="Z11" s="41">
        <v>24106.876032</v>
      </c>
      <c r="AA11" s="51">
        <f t="shared" si="1"/>
        <v>1.3115748027486249</v>
      </c>
    </row>
    <row r="12" spans="1:27" ht="28.5" x14ac:dyDescent="0.15">
      <c r="A12" s="4">
        <v>30</v>
      </c>
      <c r="B12" s="4">
        <v>10</v>
      </c>
      <c r="C12" s="5" t="s">
        <v>71</v>
      </c>
      <c r="D12" s="5" t="s">
        <v>72</v>
      </c>
      <c r="E12" s="12">
        <v>29927919</v>
      </c>
      <c r="F12" s="13">
        <v>28160000</v>
      </c>
      <c r="G12" s="13">
        <v>1767919</v>
      </c>
      <c r="H12" s="14" t="s">
        <v>14</v>
      </c>
      <c r="I12" s="14">
        <v>1.2</v>
      </c>
      <c r="J12" s="22">
        <v>0.9</v>
      </c>
      <c r="K12" s="14">
        <v>10</v>
      </c>
      <c r="L12" s="26">
        <f t="shared" si="0"/>
        <v>5.90725669900403E-2</v>
      </c>
      <c r="M12" s="33">
        <v>23067.437399999999</v>
      </c>
      <c r="N12" s="34">
        <v>45114.7550694444</v>
      </c>
      <c r="O12" s="35" t="s">
        <v>57</v>
      </c>
      <c r="P12" s="35" t="s">
        <v>73</v>
      </c>
      <c r="Q12" s="34">
        <v>45225.374479166698</v>
      </c>
      <c r="R12" s="35" t="s">
        <v>63</v>
      </c>
      <c r="S12" s="43">
        <v>21358.74</v>
      </c>
      <c r="T12" s="41">
        <v>31035.525032000001</v>
      </c>
      <c r="U12" s="41">
        <v>32897.341554999999</v>
      </c>
      <c r="V12" s="41">
        <v>30391.2453465</v>
      </c>
      <c r="W12" s="41">
        <v>35562.406289999999</v>
      </c>
      <c r="X12" s="47">
        <v>38794.406289999999</v>
      </c>
      <c r="Y12" s="47">
        <v>50611.294699999999</v>
      </c>
      <c r="Z12" s="41">
        <v>31035.525032000001</v>
      </c>
      <c r="AA12" s="51">
        <f t="shared" si="1"/>
        <v>1.4530597325497665</v>
      </c>
    </row>
    <row r="13" spans="1:27" ht="28.5" x14ac:dyDescent="0.15">
      <c r="A13" s="4">
        <v>142</v>
      </c>
      <c r="B13" s="4">
        <v>11</v>
      </c>
      <c r="C13" s="6" t="s">
        <v>74</v>
      </c>
      <c r="D13" s="6" t="s">
        <v>75</v>
      </c>
      <c r="E13" s="15">
        <v>33872328</v>
      </c>
      <c r="F13" s="16">
        <v>31634849</v>
      </c>
      <c r="G13" s="16">
        <v>35416880</v>
      </c>
      <c r="H13" s="17" t="s">
        <v>11</v>
      </c>
      <c r="I13" s="17">
        <v>1</v>
      </c>
      <c r="J13" s="24">
        <v>0.95</v>
      </c>
      <c r="K13" s="17">
        <v>10</v>
      </c>
      <c r="L13" s="25">
        <f t="shared" si="0"/>
        <v>1.0455992277826314</v>
      </c>
      <c r="M13" s="17">
        <v>85715.65</v>
      </c>
      <c r="N13" s="31">
        <v>45182.732986111099</v>
      </c>
      <c r="O13" s="6" t="s">
        <v>37</v>
      </c>
      <c r="P13" s="6" t="s">
        <v>76</v>
      </c>
      <c r="Q13" s="31">
        <v>45278.688275462999</v>
      </c>
      <c r="R13" s="6" t="s">
        <v>77</v>
      </c>
      <c r="S13" s="42">
        <v>90227</v>
      </c>
      <c r="T13" s="41">
        <v>33907.054784</v>
      </c>
      <c r="U13" s="41">
        <v>36230.367160000002</v>
      </c>
      <c r="V13" s="41">
        <v>33442.245708000002</v>
      </c>
      <c r="W13" s="41">
        <v>39151.818480000002</v>
      </c>
      <c r="X13" s="47">
        <v>42383.818480000002</v>
      </c>
      <c r="Y13" s="47">
        <v>55739.026400000002</v>
      </c>
      <c r="Z13" s="47">
        <v>55739.026400000002</v>
      </c>
      <c r="AA13" s="51">
        <f t="shared" si="1"/>
        <v>0.37579720908375541</v>
      </c>
    </row>
    <row r="14" spans="1:27" ht="42.75" x14ac:dyDescent="0.15">
      <c r="A14" s="4">
        <v>59</v>
      </c>
      <c r="B14" s="4">
        <v>12</v>
      </c>
      <c r="C14" s="5" t="s">
        <v>78</v>
      </c>
      <c r="D14" s="5" t="s">
        <v>79</v>
      </c>
      <c r="E14" s="12">
        <v>50493433</v>
      </c>
      <c r="F14" s="13">
        <v>49815679</v>
      </c>
      <c r="G14" s="13">
        <v>4924723</v>
      </c>
      <c r="H14" s="14" t="s">
        <v>13</v>
      </c>
      <c r="I14" s="14">
        <v>1.3</v>
      </c>
      <c r="J14" s="22">
        <v>0.9</v>
      </c>
      <c r="K14" s="14">
        <v>10</v>
      </c>
      <c r="L14" s="23">
        <f t="shared" si="0"/>
        <v>9.7531950342928747E-2</v>
      </c>
      <c r="M14" s="14">
        <v>52630.107199999999</v>
      </c>
      <c r="N14" s="30">
        <v>44842.6257175926</v>
      </c>
      <c r="O14" s="5" t="s">
        <v>57</v>
      </c>
      <c r="P14" s="5" t="s">
        <v>80</v>
      </c>
      <c r="Q14" s="30">
        <v>45020.383692129602</v>
      </c>
      <c r="R14" s="5" t="s">
        <v>59</v>
      </c>
      <c r="S14" s="41">
        <v>44983</v>
      </c>
      <c r="T14" s="41">
        <v>45995.376832000002</v>
      </c>
      <c r="U14" s="41">
        <v>50166.645624999997</v>
      </c>
      <c r="V14" s="41">
        <v>46242.665780000003</v>
      </c>
      <c r="W14" s="41">
        <v>54197.087884</v>
      </c>
      <c r="X14" s="47">
        <v>57494.221039999997</v>
      </c>
      <c r="Y14" s="47">
        <v>77321.791249999995</v>
      </c>
      <c r="Z14" s="41">
        <v>45995.376832000002</v>
      </c>
      <c r="AA14" s="51">
        <f t="shared" si="1"/>
        <v>1.0225057651112643</v>
      </c>
    </row>
    <row r="15" spans="1:27" ht="28.5" x14ac:dyDescent="0.15">
      <c r="A15" s="4">
        <v>24</v>
      </c>
      <c r="B15" s="4">
        <v>13</v>
      </c>
      <c r="C15" s="5" t="s">
        <v>81</v>
      </c>
      <c r="D15" s="5" t="s">
        <v>82</v>
      </c>
      <c r="E15" s="12">
        <v>50612377.030000001</v>
      </c>
      <c r="F15" s="13">
        <v>52485351</v>
      </c>
      <c r="G15" s="13">
        <v>2660344</v>
      </c>
      <c r="H15" s="14" t="s">
        <v>11</v>
      </c>
      <c r="I15" s="14">
        <v>1</v>
      </c>
      <c r="J15" s="22">
        <v>0.95</v>
      </c>
      <c r="K15" s="14">
        <v>10</v>
      </c>
      <c r="L15" s="23">
        <f t="shared" si="0"/>
        <v>5.256311116198132E-2</v>
      </c>
      <c r="M15" s="14">
        <v>31108.03</v>
      </c>
      <c r="N15" s="30">
        <v>45342.638090277796</v>
      </c>
      <c r="O15" s="5" t="s">
        <v>37</v>
      </c>
      <c r="P15" s="5" t="s">
        <v>83</v>
      </c>
      <c r="Q15" s="30">
        <v>45406.394537036998</v>
      </c>
      <c r="R15" s="5" t="s">
        <v>54</v>
      </c>
      <c r="S15" s="41">
        <v>32745.3</v>
      </c>
      <c r="T15" s="41">
        <v>46079.113407999997</v>
      </c>
      <c r="U15" s="41">
        <v>50240.985625000001</v>
      </c>
      <c r="V15" s="41">
        <v>46321.168819999999</v>
      </c>
      <c r="W15" s="41">
        <v>54286.057996000003</v>
      </c>
      <c r="X15" s="47">
        <v>57598.891759999999</v>
      </c>
      <c r="Y15" s="47">
        <v>77470.471250000002</v>
      </c>
      <c r="Z15" s="41">
        <v>46079.113407999997</v>
      </c>
      <c r="AA15" s="51">
        <f t="shared" si="1"/>
        <v>1.4071977782460383</v>
      </c>
    </row>
    <row r="16" spans="1:27" s="1" customFormat="1" ht="42.75" x14ac:dyDescent="0.15">
      <c r="A16" s="4">
        <v>89</v>
      </c>
      <c r="B16" s="4">
        <v>14</v>
      </c>
      <c r="C16" s="5" t="s">
        <v>84</v>
      </c>
      <c r="D16" s="5" t="s">
        <v>85</v>
      </c>
      <c r="E16" s="12">
        <v>70663632</v>
      </c>
      <c r="F16" s="13">
        <v>71877200</v>
      </c>
      <c r="G16" s="13">
        <v>11542373</v>
      </c>
      <c r="H16" s="14" t="s">
        <v>12</v>
      </c>
      <c r="I16" s="14">
        <v>0.9</v>
      </c>
      <c r="J16" s="22">
        <v>0.9</v>
      </c>
      <c r="K16" s="14">
        <v>8</v>
      </c>
      <c r="L16" s="23">
        <f t="shared" si="0"/>
        <v>0.16334248146203412</v>
      </c>
      <c r="M16" s="14">
        <v>54460.675499999998</v>
      </c>
      <c r="N16" s="30">
        <v>45058.6144444444</v>
      </c>
      <c r="O16" s="5" t="s">
        <v>57</v>
      </c>
      <c r="P16" s="5" t="s">
        <v>86</v>
      </c>
      <c r="Q16" s="30">
        <v>45225.625150462998</v>
      </c>
      <c r="R16" s="5" t="s">
        <v>87</v>
      </c>
      <c r="S16" s="43">
        <v>67235.399999999994</v>
      </c>
      <c r="T16" s="43">
        <v>60195.196927999998</v>
      </c>
      <c r="U16" s="43">
        <v>62773.02</v>
      </c>
      <c r="V16" s="43">
        <v>59554.99712</v>
      </c>
      <c r="W16" s="43">
        <v>69284.396735999995</v>
      </c>
      <c r="X16" s="48">
        <v>75243.996159999995</v>
      </c>
      <c r="Y16" s="48">
        <v>102534.54</v>
      </c>
      <c r="Z16" s="43">
        <v>60195.196927999998</v>
      </c>
      <c r="AA16" s="51">
        <f t="shared" si="1"/>
        <v>0.89529023294276533</v>
      </c>
    </row>
    <row r="17" spans="1:27" ht="57" x14ac:dyDescent="0.15">
      <c r="A17" s="4">
        <v>135</v>
      </c>
      <c r="B17" s="4">
        <v>15</v>
      </c>
      <c r="C17" s="6" t="s">
        <v>88</v>
      </c>
      <c r="D17" s="6" t="s">
        <v>89</v>
      </c>
      <c r="E17" s="15">
        <v>81129246</v>
      </c>
      <c r="F17" s="16">
        <v>64502824</v>
      </c>
      <c r="G17" s="16">
        <v>46341090</v>
      </c>
      <c r="H17" s="17" t="s">
        <v>11</v>
      </c>
      <c r="I17" s="17">
        <v>1</v>
      </c>
      <c r="J17" s="24">
        <v>0.95</v>
      </c>
      <c r="K17" s="17">
        <v>10</v>
      </c>
      <c r="L17" s="25">
        <f t="shared" si="0"/>
        <v>0.57120079730557338</v>
      </c>
      <c r="M17" s="17">
        <v>107187.6669</v>
      </c>
      <c r="N17" s="31">
        <v>45044.375625000001</v>
      </c>
      <c r="O17" s="6" t="s">
        <v>50</v>
      </c>
      <c r="P17" s="6" t="s">
        <v>90</v>
      </c>
      <c r="Q17" s="31">
        <v>45155.505509259303</v>
      </c>
      <c r="R17" s="6" t="s">
        <v>77</v>
      </c>
      <c r="S17" s="42">
        <v>112829.1</v>
      </c>
      <c r="T17" s="41">
        <v>67562.989184000005</v>
      </c>
      <c r="U17" s="41">
        <v>69314.028749999998</v>
      </c>
      <c r="V17" s="41">
        <v>66462.302360000001</v>
      </c>
      <c r="W17" s="41">
        <v>77112.676007999995</v>
      </c>
      <c r="X17" s="47">
        <v>84453.736480000007</v>
      </c>
      <c r="Y17" s="47">
        <v>115616.5575</v>
      </c>
      <c r="Z17" s="47">
        <v>115616.5575</v>
      </c>
      <c r="AA17" s="51">
        <f t="shared" si="1"/>
        <v>0.5988081902984248</v>
      </c>
    </row>
    <row r="18" spans="1:27" ht="28.5" x14ac:dyDescent="0.15">
      <c r="A18" s="4">
        <v>105</v>
      </c>
      <c r="B18" s="4">
        <v>16</v>
      </c>
      <c r="C18" s="6" t="s">
        <v>91</v>
      </c>
      <c r="D18" s="6" t="s">
        <v>92</v>
      </c>
      <c r="E18" s="15">
        <v>95390326</v>
      </c>
      <c r="F18" s="16">
        <v>91735712</v>
      </c>
      <c r="G18" s="16">
        <v>19544317</v>
      </c>
      <c r="H18" s="17" t="s">
        <v>11</v>
      </c>
      <c r="I18" s="17">
        <v>1</v>
      </c>
      <c r="J18" s="24">
        <v>0.95</v>
      </c>
      <c r="K18" s="17">
        <v>10</v>
      </c>
      <c r="L18" s="23">
        <f t="shared" si="0"/>
        <v>0.20488783107838421</v>
      </c>
      <c r="M18" s="17">
        <v>80448.909400000004</v>
      </c>
      <c r="N18" s="31">
        <v>44854.369525463</v>
      </c>
      <c r="O18" s="6" t="s">
        <v>37</v>
      </c>
      <c r="P18" s="6" t="s">
        <v>93</v>
      </c>
      <c r="Q18" s="31">
        <v>45096.365439814799</v>
      </c>
      <c r="R18" s="6" t="s">
        <v>77</v>
      </c>
      <c r="S18" s="41">
        <v>84683.06</v>
      </c>
      <c r="T18" s="41">
        <v>77602.789504</v>
      </c>
      <c r="U18" s="41">
        <v>78227.203750000001</v>
      </c>
      <c r="V18" s="41">
        <v>75874.615160000001</v>
      </c>
      <c r="W18" s="41">
        <v>87779.963847999999</v>
      </c>
      <c r="X18" s="47">
        <v>97003.486879999997</v>
      </c>
      <c r="Y18" s="47">
        <v>133442.9075</v>
      </c>
      <c r="Z18" s="41">
        <v>77602.789504</v>
      </c>
      <c r="AA18" s="51">
        <f t="shared" si="1"/>
        <v>0.91639094647737107</v>
      </c>
    </row>
    <row r="19" spans="1:27" ht="28.5" x14ac:dyDescent="0.15">
      <c r="A19" s="4">
        <v>96</v>
      </c>
      <c r="B19" s="4">
        <v>17</v>
      </c>
      <c r="C19" s="6" t="s">
        <v>94</v>
      </c>
      <c r="D19" s="6" t="s">
        <v>95</v>
      </c>
      <c r="E19" s="15">
        <v>102919498</v>
      </c>
      <c r="F19" s="16">
        <v>88095500</v>
      </c>
      <c r="G19" s="16">
        <v>18056609</v>
      </c>
      <c r="H19" s="17" t="s">
        <v>11</v>
      </c>
      <c r="I19" s="17">
        <v>1</v>
      </c>
      <c r="J19" s="24">
        <v>0.95</v>
      </c>
      <c r="K19" s="17">
        <v>9</v>
      </c>
      <c r="L19" s="23">
        <f t="shared" si="0"/>
        <v>0.17544400576069658</v>
      </c>
      <c r="M19" s="36">
        <v>77380</v>
      </c>
      <c r="N19" s="31">
        <v>44698.487893518497</v>
      </c>
      <c r="O19" s="6" t="s">
        <v>37</v>
      </c>
      <c r="P19" s="6" t="s">
        <v>96</v>
      </c>
      <c r="Q19" s="31">
        <v>44943.410902777803</v>
      </c>
      <c r="R19" s="6" t="s">
        <v>59</v>
      </c>
      <c r="S19" s="41">
        <v>81452.19</v>
      </c>
      <c r="T19" s="41">
        <v>82015.799199999994</v>
      </c>
      <c r="U19" s="41">
        <v>81823.527010000005</v>
      </c>
      <c r="V19" s="41">
        <v>80011.811749999993</v>
      </c>
      <c r="W19" s="41">
        <v>92395.799199999994</v>
      </c>
      <c r="X19" s="47">
        <v>102519.749</v>
      </c>
      <c r="Y19" s="47">
        <v>141248.64859999999</v>
      </c>
      <c r="Z19" s="41">
        <v>82015.799199999994</v>
      </c>
      <c r="AA19" s="51">
        <f t="shared" si="1"/>
        <v>1.0069195094692971</v>
      </c>
    </row>
    <row r="20" spans="1:27" ht="42.75" x14ac:dyDescent="0.15">
      <c r="A20" s="4">
        <v>82</v>
      </c>
      <c r="B20" s="4">
        <v>18</v>
      </c>
      <c r="C20" s="5" t="s">
        <v>97</v>
      </c>
      <c r="D20" s="5" t="s">
        <v>98</v>
      </c>
      <c r="E20" s="12">
        <v>198664647</v>
      </c>
      <c r="F20" s="13">
        <v>188749458</v>
      </c>
      <c r="G20" s="13">
        <v>30218823</v>
      </c>
      <c r="H20" s="14" t="s">
        <v>12</v>
      </c>
      <c r="I20" s="14">
        <v>0.9</v>
      </c>
      <c r="J20" s="22">
        <v>0.9</v>
      </c>
      <c r="K20" s="14">
        <v>10</v>
      </c>
      <c r="L20" s="23">
        <f t="shared" si="0"/>
        <v>0.15210971582679228</v>
      </c>
      <c r="M20" s="14">
        <v>86635.11</v>
      </c>
      <c r="N20" s="30">
        <v>45141.480648148201</v>
      </c>
      <c r="O20" s="5" t="s">
        <v>57</v>
      </c>
      <c r="P20" s="5" t="s">
        <v>99</v>
      </c>
      <c r="Q20" s="30">
        <v>45308.631435185198</v>
      </c>
      <c r="R20" s="5" t="s">
        <v>59</v>
      </c>
      <c r="S20" s="41">
        <v>106956.9</v>
      </c>
      <c r="T20" s="41">
        <v>120313.8588</v>
      </c>
      <c r="U20" s="41">
        <v>105281.088515</v>
      </c>
      <c r="V20" s="41">
        <v>115916.242625</v>
      </c>
      <c r="W20" s="41">
        <v>130693.8588</v>
      </c>
      <c r="X20" s="47">
        <v>150392.3235</v>
      </c>
      <c r="Y20" s="47">
        <v>208270.25289999999</v>
      </c>
      <c r="Z20" s="41">
        <v>120313.8588</v>
      </c>
      <c r="AA20" s="51">
        <f t="shared" si="1"/>
        <v>1.1248816934671817</v>
      </c>
    </row>
    <row r="21" spans="1:27" ht="28.5" x14ac:dyDescent="0.15">
      <c r="A21" s="4">
        <v>68</v>
      </c>
      <c r="B21" s="4">
        <v>19</v>
      </c>
      <c r="C21" s="6" t="s">
        <v>100</v>
      </c>
      <c r="D21" s="6" t="s">
        <v>101</v>
      </c>
      <c r="E21" s="15">
        <v>208203735</v>
      </c>
      <c r="F21" s="16">
        <v>184151700</v>
      </c>
      <c r="G21" s="16">
        <v>24052035</v>
      </c>
      <c r="H21" s="17" t="s">
        <v>11</v>
      </c>
      <c r="I21" s="17">
        <v>1</v>
      </c>
      <c r="J21" s="24">
        <v>0.9</v>
      </c>
      <c r="K21" s="17">
        <v>8</v>
      </c>
      <c r="L21" s="23">
        <f t="shared" si="0"/>
        <v>0.11552163077189753</v>
      </c>
      <c r="M21" s="17">
        <v>88756.44</v>
      </c>
      <c r="N21" s="31">
        <v>44978.4289236111</v>
      </c>
      <c r="O21" s="6" t="s">
        <v>46</v>
      </c>
      <c r="P21" s="6" t="s">
        <v>102</v>
      </c>
      <c r="Q21" s="31">
        <v>45281.3485069444</v>
      </c>
      <c r="R21" s="6" t="s">
        <v>54</v>
      </c>
      <c r="S21" s="41">
        <v>98618.26</v>
      </c>
      <c r="T21" s="41">
        <v>122160.59759999999</v>
      </c>
      <c r="U21" s="41">
        <v>106469.642175</v>
      </c>
      <c r="V21" s="41">
        <v>117729.59759999999</v>
      </c>
      <c r="W21" s="41">
        <v>132868.747</v>
      </c>
      <c r="X21" s="47">
        <v>152700.747</v>
      </c>
      <c r="Y21" s="47">
        <v>211666.12049999999</v>
      </c>
      <c r="Z21" s="41">
        <v>122160.59759999999</v>
      </c>
      <c r="AA21" s="51">
        <f t="shared" si="1"/>
        <v>1.2387218918687066</v>
      </c>
    </row>
    <row r="22" spans="1:27" ht="28.5" x14ac:dyDescent="0.15">
      <c r="A22" s="4">
        <v>95</v>
      </c>
      <c r="B22" s="4">
        <v>20</v>
      </c>
      <c r="C22" s="6" t="s">
        <v>103</v>
      </c>
      <c r="D22" s="6" t="s">
        <v>104</v>
      </c>
      <c r="E22" s="15">
        <v>298983704</v>
      </c>
      <c r="F22" s="16">
        <v>278054738</v>
      </c>
      <c r="G22" s="16">
        <v>52339311</v>
      </c>
      <c r="H22" s="17" t="s">
        <v>11</v>
      </c>
      <c r="I22" s="17">
        <v>1</v>
      </c>
      <c r="J22" s="24">
        <v>0.9</v>
      </c>
      <c r="K22" s="17">
        <v>10</v>
      </c>
      <c r="L22" s="23">
        <f t="shared" si="0"/>
        <v>0.17505740379749929</v>
      </c>
      <c r="M22" s="17">
        <v>124853.2028</v>
      </c>
      <c r="N22" s="31">
        <v>45226.343831018501</v>
      </c>
      <c r="O22" s="6" t="s">
        <v>57</v>
      </c>
      <c r="P22" s="6" t="s">
        <v>105</v>
      </c>
      <c r="Q22" s="31">
        <v>45279.698402777802</v>
      </c>
      <c r="R22" s="6" t="s">
        <v>77</v>
      </c>
      <c r="S22" s="41">
        <v>138725.79999999999</v>
      </c>
      <c r="T22" s="41">
        <v>136685.39264000001</v>
      </c>
      <c r="U22" s="41">
        <v>116001.53892000001</v>
      </c>
      <c r="V22" s="41">
        <v>132254.39264000001</v>
      </c>
      <c r="W22" s="41">
        <v>151024.7408</v>
      </c>
      <c r="X22" s="47">
        <v>170856.7408</v>
      </c>
      <c r="Y22" s="47">
        <v>238900.11120000001</v>
      </c>
      <c r="Z22" s="41">
        <v>136685.39264000001</v>
      </c>
      <c r="AA22" s="51">
        <f t="shared" si="1"/>
        <v>0.9852917960465899</v>
      </c>
    </row>
    <row r="23" spans="1:27" ht="28.5" x14ac:dyDescent="0.15">
      <c r="A23" s="4">
        <v>90</v>
      </c>
      <c r="B23" s="4">
        <v>21</v>
      </c>
      <c r="C23" s="5" t="s">
        <v>106</v>
      </c>
      <c r="D23" s="5" t="s">
        <v>107</v>
      </c>
      <c r="E23" s="12">
        <v>306705355</v>
      </c>
      <c r="F23" s="13">
        <v>280121798</v>
      </c>
      <c r="G23" s="13">
        <v>50647272</v>
      </c>
      <c r="H23" s="14" t="s">
        <v>11</v>
      </c>
      <c r="I23" s="14">
        <v>1</v>
      </c>
      <c r="J23" s="22">
        <v>0.92</v>
      </c>
      <c r="K23" s="14">
        <v>10</v>
      </c>
      <c r="L23" s="23">
        <f t="shared" si="0"/>
        <v>0.16513331500195033</v>
      </c>
      <c r="M23" s="14">
        <v>125738.92</v>
      </c>
      <c r="N23" s="30">
        <v>45217.465428240699</v>
      </c>
      <c r="O23" s="5" t="s">
        <v>108</v>
      </c>
      <c r="P23" s="5" t="s">
        <v>109</v>
      </c>
      <c r="Q23" s="30">
        <v>45558.346585648098</v>
      </c>
      <c r="R23" s="5" t="s">
        <v>54</v>
      </c>
      <c r="S23" s="41">
        <v>136672.70000000001</v>
      </c>
      <c r="T23" s="41">
        <v>137545.35691999999</v>
      </c>
      <c r="U23" s="41">
        <v>116601.09359249999</v>
      </c>
      <c r="V23" s="41">
        <v>133114.35691999999</v>
      </c>
      <c r="W23" s="41">
        <v>152099.69615</v>
      </c>
      <c r="X23" s="47">
        <v>171931.69615</v>
      </c>
      <c r="Y23" s="47">
        <v>240613.12455000001</v>
      </c>
      <c r="Z23" s="41">
        <v>137545.35691999999</v>
      </c>
      <c r="AA23" s="51">
        <f t="shared" si="1"/>
        <v>1.006385012661636</v>
      </c>
    </row>
    <row r="24" spans="1:27" ht="28.5" x14ac:dyDescent="0.15">
      <c r="A24" s="4">
        <v>26</v>
      </c>
      <c r="B24" s="4">
        <v>22</v>
      </c>
      <c r="C24" s="5" t="s">
        <v>110</v>
      </c>
      <c r="D24" s="5" t="s">
        <v>111</v>
      </c>
      <c r="E24" s="12">
        <v>475423372</v>
      </c>
      <c r="F24" s="13">
        <v>480013251</v>
      </c>
      <c r="G24" s="13">
        <v>25146350</v>
      </c>
      <c r="H24" s="14" t="s">
        <v>11</v>
      </c>
      <c r="I24" s="14">
        <v>1</v>
      </c>
      <c r="J24" s="22">
        <v>0.92</v>
      </c>
      <c r="K24" s="14">
        <v>10</v>
      </c>
      <c r="L24" s="26">
        <f t="shared" si="0"/>
        <v>5.2892540588012994E-2</v>
      </c>
      <c r="M24" s="33">
        <v>98394.36</v>
      </c>
      <c r="N24" s="34">
        <v>45217.441527777803</v>
      </c>
      <c r="O24" s="35" t="s">
        <v>108</v>
      </c>
      <c r="P24" s="35" t="s">
        <v>112</v>
      </c>
      <c r="Q24" s="34">
        <v>45307.353796296302</v>
      </c>
      <c r="R24" s="35" t="s">
        <v>54</v>
      </c>
      <c r="S24" s="43">
        <v>106950.39999999999</v>
      </c>
      <c r="T24" s="41">
        <v>152075.09580800001</v>
      </c>
      <c r="U24" s="41">
        <v>126626.031624</v>
      </c>
      <c r="V24" s="41">
        <v>147644.09580800001</v>
      </c>
      <c r="W24" s="41">
        <v>170261.86976</v>
      </c>
      <c r="X24" s="47">
        <v>190093.86976</v>
      </c>
      <c r="Y24" s="47">
        <v>269255.80463999999</v>
      </c>
      <c r="Z24" s="41">
        <v>152075.09580800001</v>
      </c>
      <c r="AA24" s="51">
        <f t="shared" si="1"/>
        <v>1.4219217114475498</v>
      </c>
    </row>
    <row r="25" spans="1:27" ht="28.5" x14ac:dyDescent="0.15">
      <c r="A25" s="4">
        <v>91</v>
      </c>
      <c r="B25" s="4">
        <v>23</v>
      </c>
      <c r="C25" s="6" t="s">
        <v>113</v>
      </c>
      <c r="D25" s="6" t="s">
        <v>114</v>
      </c>
      <c r="E25" s="15">
        <v>572445836</v>
      </c>
      <c r="F25" s="16">
        <v>528853076</v>
      </c>
      <c r="G25" s="16">
        <v>95955084</v>
      </c>
      <c r="H25" s="17" t="s">
        <v>11</v>
      </c>
      <c r="I25" s="17">
        <v>1</v>
      </c>
      <c r="J25" s="24">
        <v>0.95</v>
      </c>
      <c r="K25" s="17">
        <v>10</v>
      </c>
      <c r="L25" s="23">
        <f t="shared" si="0"/>
        <v>0.16762299236988423</v>
      </c>
      <c r="M25" s="17">
        <v>187387.58730000001</v>
      </c>
      <c r="N25" s="31">
        <v>44888.369756944398</v>
      </c>
      <c r="O25" s="6" t="s">
        <v>37</v>
      </c>
      <c r="P25" s="6" t="s">
        <v>115</v>
      </c>
      <c r="Q25" s="31">
        <v>45114.626956018503</v>
      </c>
      <c r="R25" s="6" t="s">
        <v>77</v>
      </c>
      <c r="S25" s="41">
        <v>197250.1</v>
      </c>
      <c r="T25" s="41">
        <v>157704.966816</v>
      </c>
      <c r="U25" s="41">
        <v>130193.85425999999</v>
      </c>
      <c r="V25" s="41">
        <v>153563.75016</v>
      </c>
      <c r="W25" s="41">
        <v>177299.20851999999</v>
      </c>
      <c r="X25" s="47">
        <v>197131.20851999999</v>
      </c>
      <c r="Y25" s="47">
        <v>279449.58360000001</v>
      </c>
      <c r="Z25" s="41">
        <v>157704.966816</v>
      </c>
      <c r="AA25" s="51">
        <f t="shared" si="1"/>
        <v>0.79951780412785589</v>
      </c>
    </row>
    <row r="26" spans="1:27" ht="42.75" x14ac:dyDescent="0.15">
      <c r="A26" s="4">
        <v>45</v>
      </c>
      <c r="B26" s="4">
        <v>24</v>
      </c>
      <c r="C26" s="6" t="s">
        <v>116</v>
      </c>
      <c r="D26" s="6" t="s">
        <v>117</v>
      </c>
      <c r="E26" s="15">
        <v>1468467900</v>
      </c>
      <c r="F26" s="16">
        <v>1463796100</v>
      </c>
      <c r="G26" s="16">
        <v>118457754</v>
      </c>
      <c r="H26" s="17" t="s">
        <v>11</v>
      </c>
      <c r="I26" s="17">
        <v>1</v>
      </c>
      <c r="J26" s="24">
        <v>0.95</v>
      </c>
      <c r="K26" s="17">
        <v>10</v>
      </c>
      <c r="L26" s="23">
        <f t="shared" si="0"/>
        <v>8.0667581497695665E-2</v>
      </c>
      <c r="M26" s="17">
        <v>214683.07569999999</v>
      </c>
      <c r="N26" s="31">
        <v>44775.476284722201</v>
      </c>
      <c r="O26" s="6" t="s">
        <v>50</v>
      </c>
      <c r="P26" s="6" t="s">
        <v>118</v>
      </c>
      <c r="Q26" s="31">
        <v>44938.681342592601</v>
      </c>
      <c r="R26" s="6" t="s">
        <v>54</v>
      </c>
      <c r="S26" s="41">
        <v>225982.2</v>
      </c>
      <c r="T26" s="41">
        <v>204134.45920000001</v>
      </c>
      <c r="U26" s="41">
        <v>159914.98884999999</v>
      </c>
      <c r="V26" s="41">
        <v>207325.07399999999</v>
      </c>
      <c r="W26" s="41">
        <v>235336.07399999999</v>
      </c>
      <c r="X26" s="47">
        <v>255168.07399999999</v>
      </c>
      <c r="Y26" s="47">
        <v>364367.11099999998</v>
      </c>
      <c r="Z26" s="41">
        <v>204134.45920000001</v>
      </c>
      <c r="AA26" s="51">
        <f t="shared" si="1"/>
        <v>0.9033209659875866</v>
      </c>
    </row>
    <row r="27" spans="1:27" ht="45" customHeight="1" x14ac:dyDescent="0.15">
      <c r="B27" s="75" t="s">
        <v>119</v>
      </c>
      <c r="C27" s="76"/>
      <c r="D27" s="76"/>
      <c r="E27" s="76"/>
      <c r="F27" s="76"/>
      <c r="G27" s="76"/>
      <c r="H27" s="76"/>
      <c r="I27" s="76"/>
      <c r="J27" s="76"/>
      <c r="K27" s="76"/>
      <c r="L27" s="77"/>
      <c r="M27" s="17"/>
      <c r="N27" s="37"/>
      <c r="O27" s="7"/>
      <c r="P27" s="7"/>
      <c r="Q27" s="37"/>
      <c r="R27" s="7"/>
      <c r="S27" s="44">
        <f t="shared" ref="S27:Z27" si="2">SUM(S3:S26)</f>
        <v>1681472.9199999997</v>
      </c>
      <c r="T27" s="44">
        <f t="shared" si="2"/>
        <v>1588893.1073759999</v>
      </c>
      <c r="U27" s="44">
        <f t="shared" si="2"/>
        <v>1439150.63322795</v>
      </c>
      <c r="V27" s="44">
        <f t="shared" si="2"/>
        <v>1550092.4653574999</v>
      </c>
      <c r="W27" s="44">
        <f t="shared" si="2"/>
        <v>1780239.3246400002</v>
      </c>
      <c r="X27" s="49">
        <f t="shared" si="2"/>
        <v>1986116.3842199999</v>
      </c>
      <c r="Y27" s="49">
        <f t="shared" si="2"/>
        <v>2745567.7699229997</v>
      </c>
      <c r="Z27" s="44">
        <f t="shared" si="2"/>
        <v>1667720.689818</v>
      </c>
      <c r="AA27" s="51"/>
    </row>
    <row r="28" spans="1:27" ht="57" x14ac:dyDescent="0.15">
      <c r="B28" s="4">
        <v>25</v>
      </c>
      <c r="C28" s="7"/>
      <c r="D28" s="5" t="s">
        <v>120</v>
      </c>
      <c r="E28" s="15">
        <v>182605525</v>
      </c>
      <c r="F28" s="13">
        <v>3269266.99</v>
      </c>
      <c r="G28" s="13">
        <v>179336258.06999999</v>
      </c>
      <c r="H28" s="14" t="s">
        <v>12</v>
      </c>
      <c r="I28" s="14">
        <v>0.9</v>
      </c>
      <c r="J28" s="22">
        <v>0.95</v>
      </c>
      <c r="K28" s="14">
        <v>10</v>
      </c>
      <c r="L28" s="25">
        <f t="shared" si="0"/>
        <v>0.98209656071468809</v>
      </c>
      <c r="M28" s="38"/>
      <c r="N28" s="39"/>
      <c r="O28" s="40"/>
      <c r="P28" s="40"/>
      <c r="Q28" s="39"/>
      <c r="R28" s="40"/>
      <c r="S28" s="42">
        <v>218285</v>
      </c>
      <c r="T28" s="41">
        <v>113890.21</v>
      </c>
      <c r="U28" s="41">
        <v>101346.603625</v>
      </c>
      <c r="V28" s="41">
        <v>109894.07187499999</v>
      </c>
      <c r="W28" s="41">
        <v>124270.21</v>
      </c>
      <c r="X28" s="47">
        <v>142362.76250000001</v>
      </c>
      <c r="Y28" s="47">
        <v>197028.86749999999</v>
      </c>
      <c r="Z28" s="47">
        <v>197028.86749999999</v>
      </c>
      <c r="AA28" s="51">
        <f t="shared" si="1"/>
        <v>0.52175005153812681</v>
      </c>
    </row>
    <row r="29" spans="1:27" ht="28.5" x14ac:dyDescent="0.15">
      <c r="B29" s="4">
        <v>26</v>
      </c>
      <c r="C29" s="7"/>
      <c r="D29" s="6" t="s">
        <v>121</v>
      </c>
      <c r="E29" s="15">
        <v>211998477</v>
      </c>
      <c r="F29" s="16">
        <v>204328014</v>
      </c>
      <c r="G29" s="16">
        <v>75051842</v>
      </c>
      <c r="H29" s="17" t="s">
        <v>11</v>
      </c>
      <c r="I29" s="17">
        <v>1</v>
      </c>
      <c r="J29" s="24">
        <v>0.95</v>
      </c>
      <c r="K29" s="17">
        <v>10</v>
      </c>
      <c r="L29" s="23">
        <f t="shared" si="0"/>
        <v>0.35402066591261405</v>
      </c>
      <c r="M29" s="17"/>
      <c r="N29" s="37"/>
      <c r="O29" s="7"/>
      <c r="P29" s="7"/>
      <c r="Q29" s="37"/>
      <c r="R29" s="7"/>
      <c r="S29" s="41">
        <v>164904</v>
      </c>
      <c r="T29" s="41">
        <v>122767.75632</v>
      </c>
      <c r="U29" s="41">
        <v>106868.090085</v>
      </c>
      <c r="V29" s="41">
        <v>118336.75632</v>
      </c>
      <c r="W29" s="41">
        <v>133627.6954</v>
      </c>
      <c r="X29" s="47">
        <v>153459.6954</v>
      </c>
      <c r="Y29" s="47">
        <v>212804.54310000001</v>
      </c>
      <c r="Z29" s="41">
        <v>122767.75632</v>
      </c>
      <c r="AA29" s="51">
        <f t="shared" si="1"/>
        <v>0.7444801600931451</v>
      </c>
    </row>
    <row r="30" spans="1:27" ht="42.75" x14ac:dyDescent="0.15">
      <c r="B30" s="4">
        <v>27</v>
      </c>
      <c r="D30" s="6" t="s">
        <v>122</v>
      </c>
      <c r="E30" s="15">
        <v>266534853</v>
      </c>
      <c r="F30" s="16">
        <v>251589390</v>
      </c>
      <c r="G30" s="16">
        <v>98185250</v>
      </c>
      <c r="H30" s="17" t="s">
        <v>12</v>
      </c>
      <c r="I30" s="17">
        <v>0.9</v>
      </c>
      <c r="J30" s="24">
        <v>0.9</v>
      </c>
      <c r="K30" s="17">
        <v>10</v>
      </c>
      <c r="L30" s="23">
        <f t="shared" si="0"/>
        <v>0.36837677660114493</v>
      </c>
      <c r="S30" s="41">
        <v>195239</v>
      </c>
      <c r="T30" s="41">
        <v>131493.57647999999</v>
      </c>
      <c r="U30" s="41">
        <v>112594.40956499999</v>
      </c>
      <c r="V30" s="41">
        <v>127062.57648</v>
      </c>
      <c r="W30" s="41">
        <v>144534.9706</v>
      </c>
      <c r="X30" s="47">
        <v>164366.9706</v>
      </c>
      <c r="Y30" s="47">
        <v>229165.4559</v>
      </c>
      <c r="Z30" s="41">
        <v>131493.57647999999</v>
      </c>
      <c r="AA30" s="51">
        <f t="shared" si="1"/>
        <v>0.67350056330958463</v>
      </c>
    </row>
    <row r="31" spans="1:27" ht="28.5" x14ac:dyDescent="0.15">
      <c r="B31" s="8">
        <v>28</v>
      </c>
      <c r="D31" s="9" t="s">
        <v>123</v>
      </c>
      <c r="E31" s="18">
        <v>337683313</v>
      </c>
      <c r="F31" s="19">
        <v>312741213</v>
      </c>
      <c r="G31" s="19">
        <v>87800483</v>
      </c>
      <c r="H31" s="20" t="s">
        <v>11</v>
      </c>
      <c r="I31" s="20">
        <v>1</v>
      </c>
      <c r="J31" s="27">
        <v>0.9</v>
      </c>
      <c r="K31" s="20">
        <v>9.5</v>
      </c>
      <c r="L31" s="28">
        <f t="shared" si="0"/>
        <v>0.26000835581709658</v>
      </c>
      <c r="M31" s="14">
        <v>165568.88519999999</v>
      </c>
      <c r="S31" s="45">
        <v>183965</v>
      </c>
      <c r="T31" s="45">
        <v>140767.064552</v>
      </c>
      <c r="U31" s="45">
        <v>118877.97350550001</v>
      </c>
      <c r="V31" s="45">
        <v>136336.064552</v>
      </c>
      <c r="W31" s="45">
        <v>156126.83069</v>
      </c>
      <c r="X31" s="45">
        <v>175958.83069</v>
      </c>
      <c r="Y31" s="45">
        <v>247118.49573</v>
      </c>
      <c r="Z31" s="45">
        <v>140767.064552</v>
      </c>
      <c r="AA31" s="51">
        <f t="shared" si="1"/>
        <v>0.76518394559834746</v>
      </c>
    </row>
    <row r="32" spans="1:27" ht="45" customHeight="1" x14ac:dyDescent="0.15">
      <c r="B32" s="78" t="s">
        <v>124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S32" s="46">
        <f t="shared" ref="S32:Z32" si="3">SUM(S27:S31)</f>
        <v>2443865.92</v>
      </c>
      <c r="T32" s="46">
        <f t="shared" si="3"/>
        <v>2097811.7147279996</v>
      </c>
      <c r="U32" s="46">
        <f t="shared" si="3"/>
        <v>1878837.7100084501</v>
      </c>
      <c r="V32" s="46">
        <f t="shared" si="3"/>
        <v>2041721.9345844998</v>
      </c>
      <c r="W32" s="46">
        <f t="shared" si="3"/>
        <v>2338799.0313300006</v>
      </c>
      <c r="X32" s="50">
        <f t="shared" si="3"/>
        <v>2622264.6434100005</v>
      </c>
      <c r="Y32" s="50">
        <f t="shared" si="3"/>
        <v>3631685.1321529998</v>
      </c>
      <c r="Z32" s="50">
        <f t="shared" si="3"/>
        <v>2259777.9546699994</v>
      </c>
    </row>
  </sheetData>
  <mergeCells count="23">
    <mergeCell ref="F1:L1"/>
    <mergeCell ref="B27:L27"/>
    <mergeCell ref="B32:L32"/>
    <mergeCell ref="A1:A2"/>
    <mergeCell ref="B1:B2"/>
    <mergeCell ref="C1:C2"/>
    <mergeCell ref="D1:D2"/>
    <mergeCell ref="E1:E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</mergeCells>
  <phoneticPr fontId="7" type="noConversion"/>
  <pageMargins left="0.31496062992126" right="0.31496062992126" top="0.55118110236220497" bottom="0.55118110236220497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取费标准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钱春杨</cp:lastModifiedBy>
  <cp:lastPrinted>2025-01-21T09:26:47Z</cp:lastPrinted>
  <dcterms:created xsi:type="dcterms:W3CDTF">2021-11-22T06:55:00Z</dcterms:created>
  <dcterms:modified xsi:type="dcterms:W3CDTF">2025-02-06T10:29:26Z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809AA86C848245BA93FE6856EB534739</vt:lpwstr>
  </property>
  <property fmtid="{D5CDD505-2E9C-101B-9397-08002B2CF9AE}" pid="3" name="KSOProductBuildVer">
    <vt:lpwstr>2052-11.8.2.11806</vt:lpwstr>
  </property>
</Properties>
</file>